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ARKETING\ORDERS &amp; OFFERTES\BESTELBON SCHUIFDEUREN\ZONDER PRIJS\"/>
    </mc:Choice>
  </mc:AlternateContent>
  <xr:revisionPtr revIDLastSave="0" documentId="13_ncr:1_{8C273E68-D93C-4962-868C-BF66A0210A1D}" xr6:coauthVersionLast="47" xr6:coauthVersionMax="47" xr10:uidLastSave="{00000000-0000-0000-0000-000000000000}"/>
  <workbookProtection workbookAlgorithmName="SHA-512" workbookHashValue="TpiAJoJdxfnIAKHTQRoDklK66VNQ1IEkucUDB/d1pf6m0BVtLQHEy1rTxkQFRewT50Eprh4urk2ucX7gVDrDwg==" workbookSaltValue="2OvK1IT8b4Y6SBmoXVhf2g==" workbookSpinCount="100000" lockStructure="1"/>
  <bookViews>
    <workbookView xWindow="28680" yWindow="-120" windowWidth="29040" windowHeight="15720" xr2:uid="{2038F659-3E2A-468C-9D92-C2D2999314BA}"/>
  </bookViews>
  <sheets>
    <sheet name="X5 order form" sheetId="1" r:id="rId1"/>
    <sheet name="Door leaf" sheetId="10" r:id="rId2"/>
    <sheet name="Technical details" sheetId="11" r:id="rId3"/>
    <sheet name="MAATWERK" sheetId="7" state="hidden" r:id="rId4"/>
    <sheet name="RAIL" sheetId="4" state="hidden" r:id="rId5"/>
    <sheet name="GREPEN" sheetId="8" state="hidden" r:id="rId6"/>
    <sheet name="INVULVELDEN" sheetId="2" state="hidden" r:id="rId7"/>
    <sheet name="STAANDERS" sheetId="3" state="hidden" r:id="rId8"/>
    <sheet name="MIDDENSTAANDERS" sheetId="6" state="hidden" r:id="rId9"/>
    <sheet name="AFWERKING" sheetId="5" state="hidden" r:id="rId10"/>
    <sheet name="OPMERKINGEN" sheetId="9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19" i="1"/>
  <c r="E41" i="1"/>
  <c r="G43" i="1"/>
  <c r="F41" i="1"/>
  <c r="B14" i="1"/>
  <c r="C43" i="1"/>
  <c r="E43" i="1" s="1"/>
  <c r="B16" i="1"/>
  <c r="C34" i="1"/>
  <c r="E34" i="1" s="1"/>
  <c r="C37" i="1"/>
  <c r="E37" i="1" s="1"/>
  <c r="E39" i="1"/>
  <c r="C39" i="1"/>
  <c r="Y21" i="8"/>
  <c r="Y22" i="8"/>
  <c r="Y23" i="8"/>
  <c r="Y20" i="8"/>
  <c r="Y19" i="8"/>
  <c r="Y18" i="8"/>
  <c r="B12" i="1"/>
  <c r="A21" i="2"/>
  <c r="A20" i="2"/>
  <c r="A8" i="2"/>
  <c r="A9" i="2"/>
  <c r="Y17" i="8"/>
  <c r="E32" i="1"/>
  <c r="B11" i="1"/>
  <c r="M48" i="11"/>
  <c r="K48" i="11"/>
  <c r="J48" i="11"/>
  <c r="L48" i="11" s="1"/>
  <c r="E25" i="1"/>
  <c r="A42" i="2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Y2" i="8"/>
  <c r="F17" i="1"/>
  <c r="E3" i="6"/>
  <c r="E4" i="6"/>
  <c r="E5" i="6"/>
  <c r="E6" i="6"/>
  <c r="E2" i="6"/>
  <c r="B18" i="1"/>
  <c r="A41" i="2"/>
  <c r="B21" i="1"/>
  <c r="N16" i="10"/>
  <c r="N14" i="10"/>
  <c r="I18" i="10"/>
  <c r="I14" i="10"/>
  <c r="D18" i="10"/>
  <c r="J45" i="11" l="1"/>
  <c r="B17" i="1"/>
  <c r="B13" i="1"/>
  <c r="F21" i="1" l="1"/>
  <c r="B26" i="1" l="1"/>
  <c r="B25" i="1" l="1"/>
  <c r="B22" i="1"/>
  <c r="B19" i="1"/>
  <c r="B15" i="1"/>
  <c r="F34" i="1" l="1"/>
  <c r="F32" i="1" l="1"/>
  <c r="F39" i="1"/>
  <c r="G34" i="1"/>
  <c r="B24" i="1"/>
  <c r="C33" i="1"/>
  <c r="F33" i="1" s="1"/>
  <c r="A29" i="2" l="1"/>
  <c r="A28" i="2"/>
  <c r="A27" i="2"/>
  <c r="A26" i="2"/>
  <c r="A25" i="2"/>
  <c r="A24" i="2"/>
  <c r="J18" i="10" l="1"/>
  <c r="E18" i="10"/>
  <c r="O16" i="10"/>
  <c r="E16" i="10"/>
  <c r="D16" i="10"/>
  <c r="O14" i="10"/>
  <c r="J14" i="10"/>
  <c r="J10" i="10"/>
  <c r="I10" i="10"/>
  <c r="E10" i="10"/>
  <c r="D10" i="10"/>
  <c r="O8" i="10"/>
  <c r="N8" i="10"/>
  <c r="E8" i="10"/>
  <c r="D8" i="10"/>
  <c r="O6" i="10"/>
  <c r="N6" i="10"/>
  <c r="J6" i="10"/>
  <c r="I6" i="10"/>
  <c r="G39" i="1" l="1"/>
  <c r="B23" i="1"/>
  <c r="G32" i="1" l="1"/>
  <c r="G33" i="1" l="1"/>
  <c r="E33" i="1"/>
  <c r="F37" i="1" l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 [Xinnix]</author>
  </authors>
  <commentList>
    <comment ref="E7" authorId="0" shapeId="0" xr:uid="{E9BED601-31F9-429B-B166-D35A44205DD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AE749126-EC05-400E-A91B-A396A909E65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B402AFED-B41C-42B6-BC87-F1B9FCC66A2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03F0316A-6E58-495A-8939-3413E5BDB5B3}">
      <text>
        <r>
          <rPr>
            <sz val="11"/>
            <color indexed="81"/>
            <rFont val="Tahoma"/>
            <family val="2"/>
          </rPr>
          <t xml:space="preserve">Double door: specify the door leaf width of 1 door panel. </t>
        </r>
      </text>
    </comment>
    <comment ref="E21" authorId="0" shapeId="0" xr:uid="{2AB58A3F-63E7-43E4-80A4-6293889BBC7B}">
      <text>
        <r>
          <rPr>
            <sz val="11"/>
            <color indexed="81"/>
            <rFont val="Tahoma"/>
            <family val="2"/>
          </rPr>
          <t>For door thicknesses &gt; 40 mm, please mention this when you place your order!</t>
        </r>
      </text>
    </comment>
    <comment ref="E25" authorId="0" shapeId="0" xr:uid="{ABD7AF89-890B-4A27-9130-4D13E432EC1A}">
      <text>
        <r>
          <rPr>
            <b/>
            <sz val="11"/>
            <color indexed="81"/>
            <rFont val="Tahoma"/>
            <family val="2"/>
          </rPr>
          <t xml:space="preserve">Be careful when you pick X5 WALL! </t>
        </r>
        <r>
          <rPr>
            <sz val="11"/>
            <color indexed="81"/>
            <rFont val="Tahoma"/>
            <family val="2"/>
          </rPr>
          <t xml:space="preserve">
Use the code of box 3(finishing set) when ordering and not the thickness of the actual finished wall.</t>
        </r>
      </text>
    </comment>
    <comment ref="E27" authorId="0" shapeId="0" xr:uid="{C3F050C2-0382-472B-9A97-9D8C1197BB01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<sst xmlns="http://schemas.openxmlformats.org/spreadsheetml/2006/main" count="1280" uniqueCount="1050">
  <si>
    <t xml:space="preserve">Metalstud? </t>
  </si>
  <si>
    <t>Wall</t>
  </si>
  <si>
    <t>XINNIX</t>
  </si>
  <si>
    <t>PURE</t>
  </si>
  <si>
    <t>X5-1972</t>
  </si>
  <si>
    <t>X5-2015</t>
  </si>
  <si>
    <t>X5-2040</t>
  </si>
  <si>
    <t>X5-2115</t>
  </si>
  <si>
    <t>X5-2315</t>
  </si>
  <si>
    <t>X5D-1972</t>
  </si>
  <si>
    <t>X5D-2015</t>
  </si>
  <si>
    <t>X5D-2040</t>
  </si>
  <si>
    <t>X5D-2115</t>
  </si>
  <si>
    <t>X5D-2315</t>
  </si>
  <si>
    <t>X5D-2715</t>
  </si>
  <si>
    <t>X5D-3015</t>
  </si>
  <si>
    <t>X5D32-1972</t>
  </si>
  <si>
    <t>X5D32-2015</t>
  </si>
  <si>
    <t>X5D32-2040</t>
  </si>
  <si>
    <t>X5D32-2115</t>
  </si>
  <si>
    <t>X5D32-2315</t>
  </si>
  <si>
    <t>X5D32-2715</t>
  </si>
  <si>
    <t>X5D32-3015</t>
  </si>
  <si>
    <t>X5D32-3515</t>
  </si>
  <si>
    <t>X5-WALL2115</t>
  </si>
  <si>
    <t>X5D-WALL2715</t>
  </si>
  <si>
    <t>X5D-WALL3015</t>
  </si>
  <si>
    <t>X5D32-XINNIX/D.1</t>
  </si>
  <si>
    <t>X5D32-XINNIX/D.2</t>
  </si>
  <si>
    <t>X5D32-XINNIX-23.139/1</t>
  </si>
  <si>
    <t>X5D32-XINNIX-23.139/2</t>
  </si>
  <si>
    <t>X5D32-XINNIX-23.139/3</t>
  </si>
  <si>
    <t>X5D32-XINNIX-23.164/1</t>
  </si>
  <si>
    <t>X5D32-XINNIX-23.164/2</t>
  </si>
  <si>
    <t>X5D32-XINNIX-23.164/3</t>
  </si>
  <si>
    <t>X5D32-XINNIX-27.139/1</t>
  </si>
  <si>
    <t>X5D32-XINNIX-27.139/2</t>
  </si>
  <si>
    <t>X5D32-XINNIX-27.139/3</t>
  </si>
  <si>
    <t>X5D32-XINNIX-27.164/1</t>
  </si>
  <si>
    <t>X5D32-XINNIX-27.164/2</t>
  </si>
  <si>
    <t>X5D32-XINNIX-27.164/3</t>
  </si>
  <si>
    <t>X5D32-XINNIX-30.139/1</t>
  </si>
  <si>
    <t>X5D32-XINNIX-30.139/2</t>
  </si>
  <si>
    <t>X5D32-XINNIX-30.139/3</t>
  </si>
  <si>
    <t>X5D32-XINNIX-30.164/1</t>
  </si>
  <si>
    <t>X5D32-XINNIX-30.164/2</t>
  </si>
  <si>
    <t>X5D32-XINNIX-30.164/3</t>
  </si>
  <si>
    <t>X5D32-XINNIX-35.164/1</t>
  </si>
  <si>
    <t>X5D32-XINNIX-35.164/2</t>
  </si>
  <si>
    <t>X5D32-XINNIX-35.164/3</t>
  </si>
  <si>
    <t>X5D-XINNIX/D.1</t>
  </si>
  <si>
    <t>X5D-XINNIX/D.2</t>
  </si>
  <si>
    <t>X5D-XINNIX-23.125/1</t>
  </si>
  <si>
    <t>X5D-XINNIX-23.125/2</t>
  </si>
  <si>
    <t>X5D-XINNIX-23.125/3</t>
  </si>
  <si>
    <t>X5D-XINNIX-23.150/1</t>
  </si>
  <si>
    <t>X5D-XINNIX-23.150/2</t>
  </si>
  <si>
    <t>X5D-XINNIX-23.150/3</t>
  </si>
  <si>
    <t>X5D-XINNIX-27.125/1</t>
  </si>
  <si>
    <t>X5D-XINNIX-27.125/2</t>
  </si>
  <si>
    <t>X5D-XINNIX-27.125/3</t>
  </si>
  <si>
    <t>X5D-XINNIX-27.150/1</t>
  </si>
  <si>
    <t>X5D-XINNIX-27.150/2</t>
  </si>
  <si>
    <t>X5D-XINNIX-27.150/3</t>
  </si>
  <si>
    <t>X5D-XINNIX-30.125/1</t>
  </si>
  <si>
    <t>X5D-XINNIX-30.125/2</t>
  </si>
  <si>
    <t>X5D-XINNIX-30.125/3</t>
  </si>
  <si>
    <t>X5D-XINNIX-30.150/1</t>
  </si>
  <si>
    <t>X5D-XINNIX-30.150/2</t>
  </si>
  <si>
    <t>X5D-XINNIX-30.150/3</t>
  </si>
  <si>
    <t>X5D-XINNIXGL-23.100/1</t>
  </si>
  <si>
    <t>X5D-XINNIXGL-23.125/1</t>
  </si>
  <si>
    <t>X5D-XINNIXGL-23.125/2</t>
  </si>
  <si>
    <t>X5D-XINNIXGL-27.125/1</t>
  </si>
  <si>
    <t>X5D-XINNIXGL-27.125/2</t>
  </si>
  <si>
    <t>X5D-XINNIXGL-30.125/1</t>
  </si>
  <si>
    <t>X5D-XINNIXGL-30.125/2</t>
  </si>
  <si>
    <t>X5D32-XINNIXGL-23.114/1</t>
  </si>
  <si>
    <t>X5D32-XINNIXGL-23.114/2</t>
  </si>
  <si>
    <t>X5D32-XINNIXGL-23.139/1</t>
  </si>
  <si>
    <t>X5D32-XINNIXGL-23.139/2</t>
  </si>
  <si>
    <t>X5D32-XINNIXGL-27.114/1</t>
  </si>
  <si>
    <t>X5D32-XINNIXGL-27.114/2</t>
  </si>
  <si>
    <t>X5D32-XINNIXGL-27.139/1</t>
  </si>
  <si>
    <t>X5D32-XINNIXGL-27.139/2</t>
  </si>
  <si>
    <t>X5D32-XINNIXGL-30.139/1</t>
  </si>
  <si>
    <t>X5D32-XINNIXGL-30.139/2</t>
  </si>
  <si>
    <t>X5-PURE/D</t>
  </si>
  <si>
    <t>X5-PURE-23.100</t>
  </si>
  <si>
    <t>X5-PURE-23.125</t>
  </si>
  <si>
    <t>X5-PURE-23.139</t>
  </si>
  <si>
    <t>X5-PURE-23.150</t>
  </si>
  <si>
    <t>X5-PURE-23.164</t>
  </si>
  <si>
    <t>X5-PURE-27.125</t>
  </si>
  <si>
    <t>X5-PURE-27.139</t>
  </si>
  <si>
    <t>X5-PURE-27.150</t>
  </si>
  <si>
    <t>X5-PURE-27.164</t>
  </si>
  <si>
    <t>X5-PURE-35.139</t>
  </si>
  <si>
    <t>X5-PURE-35.164</t>
  </si>
  <si>
    <t>X5-PURE-30.125</t>
  </si>
  <si>
    <t>X5-PURE-30.139</t>
  </si>
  <si>
    <t>X5-PURE-30.150</t>
  </si>
  <si>
    <t>X5-PURE-30.164</t>
  </si>
  <si>
    <t>X5-PUREGL-23.100</t>
  </si>
  <si>
    <t>X5-PUREGL-23.125</t>
  </si>
  <si>
    <t>X5-PUREGL-27.100</t>
  </si>
  <si>
    <t>X5-PUREGL-27.125</t>
  </si>
  <si>
    <t>X5-PUREGL-30.100</t>
  </si>
  <si>
    <t>X5-PUREGL-30.125</t>
  </si>
  <si>
    <t>X5-PUREGL-23.114</t>
  </si>
  <si>
    <t>X5-PUREGL-23.139</t>
  </si>
  <si>
    <t>X5-PUREGL-27.114</t>
  </si>
  <si>
    <t>X5-PUREGL-27.139</t>
  </si>
  <si>
    <t>X5-PUREGL-30.114</t>
  </si>
  <si>
    <t>X5-PUREGL-30.139</t>
  </si>
  <si>
    <t>X5-XINNIX/D.1</t>
  </si>
  <si>
    <t>X5-XINNIX/D.2</t>
  </si>
  <si>
    <t>X5-XINNIX-23.100/1</t>
  </si>
  <si>
    <t>X5-XINNIX-23.100/2</t>
  </si>
  <si>
    <t>X5-XINNIX-23.125/1</t>
  </si>
  <si>
    <t>X5-XINNIX-23.125/2</t>
  </si>
  <si>
    <t>X5D/XM2115</t>
  </si>
  <si>
    <t>X5D/XM2315</t>
  </si>
  <si>
    <t>X5D/XM2715</t>
  </si>
  <si>
    <t>X5D/XM3015</t>
  </si>
  <si>
    <t>X5D/XM3515</t>
  </si>
  <si>
    <t>X5D-20.15B100</t>
  </si>
  <si>
    <t>X5D-20.16B100</t>
  </si>
  <si>
    <t>X5D-20.17B100</t>
  </si>
  <si>
    <t>X5D-20.18B100</t>
  </si>
  <si>
    <t>X5D-20.19B100</t>
  </si>
  <si>
    <t>X5D-20.20B100</t>
  </si>
  <si>
    <t>X5D-20.21B100</t>
  </si>
  <si>
    <t>X5D-20.22B100</t>
  </si>
  <si>
    <t>X5D-20.23B100</t>
  </si>
  <si>
    <t>X5D-20.24B100</t>
  </si>
  <si>
    <t>X5D-20.25B100</t>
  </si>
  <si>
    <t>X5D-20.26B100</t>
  </si>
  <si>
    <t>X5D-20.27B100</t>
  </si>
  <si>
    <t>X5D-20.28B100</t>
  </si>
  <si>
    <t>X5D-20.29B100</t>
  </si>
  <si>
    <t>X5D-20.30B100</t>
  </si>
  <si>
    <t>X5D-21.15B100</t>
  </si>
  <si>
    <t>X5D-21.16B100</t>
  </si>
  <si>
    <t>X5D-21.17B100</t>
  </si>
  <si>
    <t>X5D-21.18B100</t>
  </si>
  <si>
    <t>X5D-21.19B100</t>
  </si>
  <si>
    <t>X5D-21.20B100</t>
  </si>
  <si>
    <t>X5D-21.21B100</t>
  </si>
  <si>
    <t>X5D-21.22B100</t>
  </si>
  <si>
    <t>X5D-21.23B100</t>
  </si>
  <si>
    <t>X5D-21.24B100</t>
  </si>
  <si>
    <t>X5D-21.25B100</t>
  </si>
  <si>
    <t>X5D-21.26B100</t>
  </si>
  <si>
    <t>X5D-21.27B100</t>
  </si>
  <si>
    <t>X5D-21.28B100</t>
  </si>
  <si>
    <t>X5D-21.29B100</t>
  </si>
  <si>
    <t>X5D-21.30B100</t>
  </si>
  <si>
    <t>X5D-23.15B100</t>
  </si>
  <si>
    <t>X5D-23.16B100</t>
  </si>
  <si>
    <t>X5D-23.17B100</t>
  </si>
  <si>
    <t>X5D-23.18B100</t>
  </si>
  <si>
    <t>X5D-23.19B100</t>
  </si>
  <si>
    <t>X5D-23.20B100</t>
  </si>
  <si>
    <t>X5D-23.21B100</t>
  </si>
  <si>
    <t>X5D-23.22B100</t>
  </si>
  <si>
    <t>X5D-23.23B100</t>
  </si>
  <si>
    <t>X5D-23.24B100</t>
  </si>
  <si>
    <t>X5D-23.25B100</t>
  </si>
  <si>
    <t>X5D-23.26B100</t>
  </si>
  <si>
    <t>X5D-23.27B100</t>
  </si>
  <si>
    <t>X5D-23.28B100</t>
  </si>
  <si>
    <t>X5D-23.29B100</t>
  </si>
  <si>
    <t>X5D-23.30B100</t>
  </si>
  <si>
    <t>X5D-27.15B100</t>
  </si>
  <si>
    <t>X5D-27.16B100</t>
  </si>
  <si>
    <t>X5D-27.17B100</t>
  </si>
  <si>
    <t>X5D-27.18B100</t>
  </si>
  <si>
    <t>X5D-27.19B100</t>
  </si>
  <si>
    <t>X5D-27.20B100</t>
  </si>
  <si>
    <t>X5D-27.21B100</t>
  </si>
  <si>
    <t>X5D-27.22B100</t>
  </si>
  <si>
    <t>X5D-27.23B100</t>
  </si>
  <si>
    <t>X5D-27.24B100</t>
  </si>
  <si>
    <t>X5D-27.25B100</t>
  </si>
  <si>
    <t>X5D-27.26B100</t>
  </si>
  <si>
    <t>X5D-27.27B100</t>
  </si>
  <si>
    <t>X5D-27.28B100</t>
  </si>
  <si>
    <t>X5D-27.29B100</t>
  </si>
  <si>
    <t>X5D-27.30B100</t>
  </si>
  <si>
    <t>X5D-30.15B100</t>
  </si>
  <si>
    <t>X5D-30.16B100</t>
  </si>
  <si>
    <t>X5D-30.17B100</t>
  </si>
  <si>
    <t>X5D-30.18B100</t>
  </si>
  <si>
    <t>X5D-30.19B100</t>
  </si>
  <si>
    <t>X5D-30.20B100</t>
  </si>
  <si>
    <t>X5D-30.21B100</t>
  </si>
  <si>
    <t>X5D-30.22B100</t>
  </si>
  <si>
    <t>X5D-30.23B100</t>
  </si>
  <si>
    <t>X5D-30.24B100</t>
  </si>
  <si>
    <t>X5D-30.25B100</t>
  </si>
  <si>
    <t>X5D-30.26B100</t>
  </si>
  <si>
    <t>X5D-30.27B100</t>
  </si>
  <si>
    <t>X5D-30.28B100</t>
  </si>
  <si>
    <t>X5D-30.29B100</t>
  </si>
  <si>
    <t>X5D-30.30B100</t>
  </si>
  <si>
    <t>X5D32-20.15B100</t>
  </si>
  <si>
    <t>X5D32-20.16B100</t>
  </si>
  <si>
    <t>X5D32-20.17B100</t>
  </si>
  <si>
    <t>X5D32-20.18B100</t>
  </si>
  <si>
    <t>X5D32-20.19B100</t>
  </si>
  <si>
    <t>X5D32-20.20B100</t>
  </si>
  <si>
    <t>X5D32-20.21B100</t>
  </si>
  <si>
    <t>X5D32-20.22B100</t>
  </si>
  <si>
    <t>X5D32-20.23B100</t>
  </si>
  <si>
    <t>X5D32-20.24B100</t>
  </si>
  <si>
    <t>X5D32-20.25B100</t>
  </si>
  <si>
    <t>X5D32-20.26B100</t>
  </si>
  <si>
    <t>X5D32-20.27B100</t>
  </si>
  <si>
    <t>X5D32-20.28B100</t>
  </si>
  <si>
    <t>X5D32-20.29B100</t>
  </si>
  <si>
    <t>X5D32-20.30B100</t>
  </si>
  <si>
    <t>X5D32-21.15B100</t>
  </si>
  <si>
    <t>X5D32-21.16B100</t>
  </si>
  <si>
    <t>X5D32-21.17B100</t>
  </si>
  <si>
    <t>X5D32-21.18B100</t>
  </si>
  <si>
    <t>X5D32-21.19B100</t>
  </si>
  <si>
    <t>X5D32-21.20B100</t>
  </si>
  <si>
    <t>X5D32-21.21B100</t>
  </si>
  <si>
    <t>X5D32-21.22B100</t>
  </si>
  <si>
    <t>X5D32-21.23B100</t>
  </si>
  <si>
    <t>X5D32-21.24B100</t>
  </si>
  <si>
    <t>X5D32-21.25B100</t>
  </si>
  <si>
    <t>X5D32-21.26B100</t>
  </si>
  <si>
    <t>X5D32-21.27B100</t>
  </si>
  <si>
    <t>X5D32-21.28B100</t>
  </si>
  <si>
    <t>X5D32-21.29B100</t>
  </si>
  <si>
    <t>X5D32-21.30B100</t>
  </si>
  <si>
    <t>X5D32-23.15B100</t>
  </si>
  <si>
    <t>X5D32-23.16B100</t>
  </si>
  <si>
    <t>X5D32-23.17B100</t>
  </si>
  <si>
    <t>X5D32-23.18B100</t>
  </si>
  <si>
    <t>X5D32-23.19B100</t>
  </si>
  <si>
    <t>X5D32-23.20B100</t>
  </si>
  <si>
    <t>X5D32-23.21B100</t>
  </si>
  <si>
    <t>X5D32-23.22B100</t>
  </si>
  <si>
    <t>X5D32-23.23B100</t>
  </si>
  <si>
    <t>X5D32-23.24B100</t>
  </si>
  <si>
    <t>X5D32-23.25B100</t>
  </si>
  <si>
    <t>X5D32-23.26B100</t>
  </si>
  <si>
    <t>X5D32-23.27B100</t>
  </si>
  <si>
    <t>X5D32-23.28B100</t>
  </si>
  <si>
    <t>X5D32-23.29B100</t>
  </si>
  <si>
    <t>X5D32-23.30B100</t>
  </si>
  <si>
    <t>X5D32-27.15B100</t>
  </si>
  <si>
    <t>X5D32-27.16B100</t>
  </si>
  <si>
    <t>X5D32-27.17B100</t>
  </si>
  <si>
    <t>X5D32-27.18B100</t>
  </si>
  <si>
    <t>X5D32-27.19B100</t>
  </si>
  <si>
    <t>X5D32-27.20B100</t>
  </si>
  <si>
    <t>X5D32-27.21B100</t>
  </si>
  <si>
    <t>X5D32-27.22B100</t>
  </si>
  <si>
    <t>X5D32-27.23B100</t>
  </si>
  <si>
    <t>X5D32-27.24B100</t>
  </si>
  <si>
    <t>X5D32-27.25B100</t>
  </si>
  <si>
    <t>X5D32-27.26B100</t>
  </si>
  <si>
    <t>X5D32-27.27B100</t>
  </si>
  <si>
    <t>X5D32-27.28B100</t>
  </si>
  <si>
    <t>X5D32-27.29B100</t>
  </si>
  <si>
    <t>X5D32-27.30B100</t>
  </si>
  <si>
    <t>X5D32-30.15B100</t>
  </si>
  <si>
    <t>X5D32-30.16B100</t>
  </si>
  <si>
    <t>X5D32-30.17B100</t>
  </si>
  <si>
    <t>X5D32-30.18B100</t>
  </si>
  <si>
    <t>X5D32-30.19B100</t>
  </si>
  <si>
    <t>X5D32-30.20B100</t>
  </si>
  <si>
    <t>X5D32-30.21B100</t>
  </si>
  <si>
    <t>X5D32-30.22B100</t>
  </si>
  <si>
    <t>X5D32-30.23B100</t>
  </si>
  <si>
    <t>X5D32-30.24B100</t>
  </si>
  <si>
    <t>X5D32-30.25B100</t>
  </si>
  <si>
    <t>X5D32-30.26B100</t>
  </si>
  <si>
    <t>X5D32-30.27B100</t>
  </si>
  <si>
    <t>X5D32-30.28B100</t>
  </si>
  <si>
    <t>X5D32-30.29B100</t>
  </si>
  <si>
    <t>X5D32-30.30B100</t>
  </si>
  <si>
    <t>X5D32-35.15B100</t>
  </si>
  <si>
    <t>X5D32-35.16B100</t>
  </si>
  <si>
    <t>X5D32-35.17B100</t>
  </si>
  <si>
    <t>X5D32-35.18B100</t>
  </si>
  <si>
    <t>X5D32-35.19B100</t>
  </si>
  <si>
    <t>X5D32-35.20B100</t>
  </si>
  <si>
    <t>X5D32-35.21B100</t>
  </si>
  <si>
    <t>X5D32-35.22B100</t>
  </si>
  <si>
    <t>X5D32-35.23B100</t>
  </si>
  <si>
    <t>X5D32-35.24B100</t>
  </si>
  <si>
    <t>X5D32-35.25B100</t>
  </si>
  <si>
    <t>X5D32-35.26B100</t>
  </si>
  <si>
    <t>X5D32-35.27B100</t>
  </si>
  <si>
    <t>X5D32-35.28B100</t>
  </si>
  <si>
    <t>X5D32-35.29B100</t>
  </si>
  <si>
    <t>X5D32-35.30B100</t>
  </si>
  <si>
    <t>XINNIX X5D Schuifdeursysteem B 1500  H 2000 Pr 100 Md 150</t>
  </si>
  <si>
    <t>XINNIX XD5 Schuifdeursysteem B 1600  H 2000 Pr 100 Md 150</t>
  </si>
  <si>
    <t>XINNIX X5D Schuifdeursysteem B 1700  H 2000 Pr 100 Md 150</t>
  </si>
  <si>
    <t>XINNIX X5D Schuifdeursysteem B 1800  H 2000 Pr 100 Md 150</t>
  </si>
  <si>
    <t>XINNIX X5D Schuifdeursysteem B 1900  H 2000 Pr 100 Md 150</t>
  </si>
  <si>
    <t>XINNIX X5D Schuifdeursysteem B 2000  H 2000 Pr 100 Md 150</t>
  </si>
  <si>
    <t>XINNIX X5D Schuifdeursysteem B 2100  H 2000 Pr 100 Md 150</t>
  </si>
  <si>
    <t>XINNIX X5D Schuifdeursysteem B 2200  H 2000 Pr 100 Md 150</t>
  </si>
  <si>
    <t>XINNIX X5D Schuifdeursysteem B 2300  H 2000 Pr 100 Md 150</t>
  </si>
  <si>
    <t>XINNIX X5D Schuifdeursysteem B 2400  H 2000 Pr 100 Md 150</t>
  </si>
  <si>
    <t>XINNIX X5D Schuifdeursysteem B 2500  H 2000 Pr 100 Md 150</t>
  </si>
  <si>
    <t>XINNIX X5D Schuifdeursysteem B 2600  H 2000 Pr 100 Md 150</t>
  </si>
  <si>
    <t>XINNIX X5D Schuifdeursysteem B 2700  H 2000 Pr 100 Md 150</t>
  </si>
  <si>
    <t>XINNIX X5D Schuifdeursysteem B 2800  H 2000 Pr 100 Md 150</t>
  </si>
  <si>
    <t>XINNIX X5D Schuifdeursysteem B 2900  H 2000 Pr 100 Md 150</t>
  </si>
  <si>
    <t>XINNIX X5D Schuifdeursysteem B 3000  H 2000 Pr 100 Md 150</t>
  </si>
  <si>
    <t>XINNIX X5D Schuifdeursysteem B 1500  H 2100 Pr 100 Md 150</t>
  </si>
  <si>
    <t>XINNIX X5D Schuifdeursysteem B 1600  H 2100 Pr 100 Md 150</t>
  </si>
  <si>
    <t>XINNIX X5D Schuifdeursysteem B 1700  H 2100 Pr 100 Md 150</t>
  </si>
  <si>
    <t>XINNIX X5D Schuifdeursysteem B 1800  H 2100 Pr 100 Md 150</t>
  </si>
  <si>
    <t>XINNIX X5D Schuifdeursysteem B 1900  H 2100 Pr 100 Md 150</t>
  </si>
  <si>
    <t>XINNIX X5D Schuifdeursysteem B 2000  H 2100 Pr 100 Md 150</t>
  </si>
  <si>
    <t>XINNIX X5D Schuifdeursysteem B 2100  H 2100 Pr 100 Md 150</t>
  </si>
  <si>
    <t>XINNIX X5D Schuifdeursysteem B 2200  H 2100 Pr 100 Md 150</t>
  </si>
  <si>
    <t>XINNIX X5D Schuifdeursysteem B 2300  H 2100 Pr 100 Md 150</t>
  </si>
  <si>
    <t>XINNIX X5D Schuifdeursysteem B 2400  H 2100 Pr 100 Md 150</t>
  </si>
  <si>
    <t>XINNIX X5D Schuifdeursysteem B 2500  H 2100 Pr 100 Md 150</t>
  </si>
  <si>
    <t>XINNIX X5D Schuifdeursysteem B 2600  H 2100 Pr 100 Md 150</t>
  </si>
  <si>
    <t>XINNIX X5D Schuifdeursysteem B 2700  H 2100 Pr 100 Md 150</t>
  </si>
  <si>
    <t>XINNIX X5D Schuifdeursysteem B 2800  H 2100 Pr 100 Md 150</t>
  </si>
  <si>
    <t>XINNIX X5D Schuifdeursysteem B 2900  H 2100 Pr 100 Md 150</t>
  </si>
  <si>
    <t>XINNIX X5D Schuifdeursysteem B 3000  H 2100 Pr 100 Md 150</t>
  </si>
  <si>
    <t>XINNIX X5D Schuifdeursysteem B 1500 H 2300 Pr 100 Md 150</t>
  </si>
  <si>
    <t>XINNIX X5D Schuifdeursysteem B 1600 H 2300 Pr 100 Md 150</t>
  </si>
  <si>
    <t>XINNIX X5D Schuifdeursysteem B 1700 H 2300 Pr 100 Md 150</t>
  </si>
  <si>
    <t>XINNIX X5D Schuifdeursysteem B 1800 H 2300 Pr 100 Md 150</t>
  </si>
  <si>
    <t>XINNIX X5D Schuifdeursysteem B 1900 H 2300 Pr 100 Md 150</t>
  </si>
  <si>
    <t>XINNIX X5D Schuifdeursysteem B 2000 H 2300 Pr 100 Md 150</t>
  </si>
  <si>
    <t>XINNIX X5D Schuifdeursysteem B 2100 H 2300 Pr 100 Md 150</t>
  </si>
  <si>
    <t>XINNIX X5D Schuifdeursysteem B 2200 H 2300 Pr 100 Md 150</t>
  </si>
  <si>
    <t>XINNIX X5D Schuifdeursysteem B 2300 H 2300 Pr 100 Md 150</t>
  </si>
  <si>
    <t>XINNIX X5D Schuifdeursysteem B 2400 H 2300 Pr 100 Md 150</t>
  </si>
  <si>
    <t>XINNIX X5D Schuifdeursysteem B 2500 H 2300 Pr 100 Md 150</t>
  </si>
  <si>
    <t>XINNIX X5D Schuifdeursysteem B 2600 H 2300 Pr 100 Md 150</t>
  </si>
  <si>
    <t>XINNIX X5D Schuifdeursysteem B 2700 H 2300 Pr 100 Md 150</t>
  </si>
  <si>
    <t>XINNIX X5D Schuifdeursysteem B 2800 H 2300 Pr 100 Md 150</t>
  </si>
  <si>
    <t>XINNIX X5D Schuifdeursysteem B 2900 H 2300 Pr 100 Md 150</t>
  </si>
  <si>
    <t>XINNIX X5D Schuifdeursysteem B 3000 H 2300 Pr 100 Md 150</t>
  </si>
  <si>
    <t>XINNIX X5D Schuifdeursysteem B 1500 H 2700 Pr 100 Md 150</t>
  </si>
  <si>
    <t>XINNIX X5D Schuifdeursysteem B 1600 H 2700 Pr 100 Md 150</t>
  </si>
  <si>
    <t>XINNIX X5D Schuifdeursysteem B 1700 H 2700 Pr 100 Md 150</t>
  </si>
  <si>
    <t>XINNIX X5D Schuifdeursysteem B 1800 H 2700 Pr 100 Md 150</t>
  </si>
  <si>
    <t>XINNIX X5D Schuifdeursysteem B 1900 H 2700 Pr 100 Md 150</t>
  </si>
  <si>
    <t>XINNIX X5D Schuifdeursysteem B 2000 H 2700 Pr 100 Md 150</t>
  </si>
  <si>
    <t>XINNIX X5D Schuifdeursysteem B 2100 H 2700 Pr 100 Md 150</t>
  </si>
  <si>
    <t>XINNIX X5D Schuifdeursysteem B 2200 H 2700 Pr 100 Md 150</t>
  </si>
  <si>
    <t>XINNIX X5D Schuifdeursysteem B 2300 H 2700 Pr 100 Md 150</t>
  </si>
  <si>
    <t>XINNIX X5D Schuifdeursysteem B 2400 H 2700 Pr 100 Md 150</t>
  </si>
  <si>
    <t>XINNIX X5D Schuifdeursysteem B 2500 H 2700 Pr 100 Md 150</t>
  </si>
  <si>
    <t>XINNIX X5D Schuifdeursysteem B 2600 H 2700 Pr 100 Md 150</t>
  </si>
  <si>
    <t>XINNIX X5D Schuifdeursysteem B 2700 H 2700 Pr 100 Md 150</t>
  </si>
  <si>
    <t>XINNIX X5D Schuifdeursysteem B 2800 H 2700 Pr 100 Md 150</t>
  </si>
  <si>
    <t>XINNIX X5D Schuifdeursysteem B 2900 H 2700 Pr 100 Md 150</t>
  </si>
  <si>
    <t>XINNIX X5D Schuifdeursysteem B 3000 H 2700 Pr 100 Md 150</t>
  </si>
  <si>
    <t>XINNIX X5D Schuifdeursysteem B 1500 H 3000 Pr 100 Md 150</t>
  </si>
  <si>
    <t>XINNIX X5D Schuifdeursysteem B 1600 H 3000 Pr 100 Md 150</t>
  </si>
  <si>
    <t>XINNIX X5D Schuifdeursysteem B 1700 H 3000 Pr 100 Md 150</t>
  </si>
  <si>
    <t>XINNIX X5D Schuifdeursysteem B 1800 H 3000 Pr 100 Md 150</t>
  </si>
  <si>
    <t>XINNIX X5D Schuifdeursysteem B 1900 H 3000 Pr 100 Md 150</t>
  </si>
  <si>
    <t>XINNIX X5D Schuifdeursysteem B 2000 H 3000 Pr 100 Md 150</t>
  </si>
  <si>
    <t>XINNIX X5D Schuifdeursysteem B 2100 H 3000 Pr 100 Md 150</t>
  </si>
  <si>
    <t>XINNIX X5D Schuifdeursysteem B 2200 H 3000 Pr 100 Md 150</t>
  </si>
  <si>
    <t>XINNIX X5D Schuifdeursysteem B 2300 H 3000 Pr 100 Md 150</t>
  </si>
  <si>
    <t>XINNIX X5D Schuifdeursysteem B 2400 H 3000 Pr 100 Md 150</t>
  </si>
  <si>
    <t>XINNIX X5D Schuifdeursysteem B 2500 H 3000 Pr 100 Md 150</t>
  </si>
  <si>
    <t>XINNIX X5D Schuifdeursysteem B 2600 H 3000 Pr 100 Md 150</t>
  </si>
  <si>
    <t>XINNIX X5D Schuifdeursysteem B 2700 H 3000 Pr 100 Md 150</t>
  </si>
  <si>
    <t>XINNIX X5D Schuifdeursysteem B 2800 H 3000 Pr 100 Md 150</t>
  </si>
  <si>
    <t>XINNIX X5D Schuifdeursysteem B 2900 H 3000 Pr 100 Md 150</t>
  </si>
  <si>
    <t>XINNIX X5D Schuifdeursysteem B 3000 H 3000 Pr 100 Md 150</t>
  </si>
  <si>
    <t>XINNIX X5D32 Schuifdeursysteem B 1500  H 2100 Pr 100 Md 150</t>
  </si>
  <si>
    <t>XINNIX X5D32 Schuifdeursysteem B 1600  H 2100 Pr 100 Md 150</t>
  </si>
  <si>
    <t>XINNIX X5D32 Schuifdeursysteem B 1700  H 2100 Pr 100 Md 150</t>
  </si>
  <si>
    <t>XINNIX X5D32 Schuifdeursysteem B 1800  H 2100 Pr 100 Md 150</t>
  </si>
  <si>
    <t>XINNIX X5D32 Schuifdeursysteem B 1900  H 2100 Pr 100 Md 150</t>
  </si>
  <si>
    <t>XINNIX X5D32 Schuifdeursysteem B 2000  H 2100 Pr 100 Md 150</t>
  </si>
  <si>
    <t>XINNIX X5D32 Schuifdeursysteem B 2100  H 2100 Pr 100 Md 150</t>
  </si>
  <si>
    <t>XINNIX X5D32 Schuifdeursysteem B 2200  H 2100 Pr 100 Md 150</t>
  </si>
  <si>
    <t>XINNIX X5D32 Schuifdeursysteem B 2300  H 2100 Pr 100 Md 150</t>
  </si>
  <si>
    <t>XINNIX X5D32 Schuifdeursysteem B 2400  H 2100 Pr 100 Md 150</t>
  </si>
  <si>
    <t>XINNIX X5D32 Schuifdeursysteem B 2500  H 2100 Pr 100 Md 150</t>
  </si>
  <si>
    <t>XINNIX X5D32 Schuifdeursysteem B 2600  H 2100 Pr 100 Md 150</t>
  </si>
  <si>
    <t>XINNIX X5D32 Schuifdeursysteem B 2700  H 2100 Pr 100 Md 150</t>
  </si>
  <si>
    <t>XINNIX X5D32 Schuifdeursysteem B 2800  H 2100 Pr 100 Md 150</t>
  </si>
  <si>
    <t>XINNIX X5D32 Schuifdeursysteem B 2900  H 2100 Pr 100 Md 150</t>
  </si>
  <si>
    <t>XINNIX X5D32 Schuifdeursysteem B 3000  H 2100 Pr 100 Md 150</t>
  </si>
  <si>
    <t>XINNIX X5D32 Schuifdeursysteem B 1500 H 2300 Pr 100 Md 150</t>
  </si>
  <si>
    <t>XINNIX X5D32 Schuifdeursysteem B 1600 H 2300 Pr 100 Md 150</t>
  </si>
  <si>
    <t>XINNIX X5D32 Schuifdeursysteem B 1700 H 2300 Pr 100 Md 150</t>
  </si>
  <si>
    <t>XINNIX X5D32 Schuifdeursysteem B 1800 H 2300 Pr 100 Md 150</t>
  </si>
  <si>
    <t>XINNIX X5D32 Schuifdeursysteem B 1900 H 2300 Pr 100 Md 150</t>
  </si>
  <si>
    <t>XINNIX X5D32 Schuifdeursysteem B 2000 H 2300 Pr 100 Md 150</t>
  </si>
  <si>
    <t>XINNIX X5D32 Schuifdeursysteem B 2100 H 2300 Pr 100 Md 150</t>
  </si>
  <si>
    <t>XINNIX X5D32 Schuifdeursysteem B 2200 H 2300 Pr 100 Md 150</t>
  </si>
  <si>
    <t>XINNIX X5D32 Schuifdeursysteem B 2300 H 2300 Pr 100 Md 150</t>
  </si>
  <si>
    <t>XINNIX X5D32 Schuifdeursysteem B 2400 H 2300 Pr 100 Md 150</t>
  </si>
  <si>
    <t>XINNIX X5D32 Schuifdeursysteem B 2500 H 2300 Pr 100 Md 150</t>
  </si>
  <si>
    <t>XINNIX X5D32 Schuifdeursysteem B 2600 H 2300 Pr 100 Md 150</t>
  </si>
  <si>
    <t>XINNIX X5D32 Schuifdeursysteem B 2700 H 2300 Pr 100 Md 150</t>
  </si>
  <si>
    <t>XINNIX X5D32 Schuifdeursysteem B 2800 H 2300 Pr 100 Md 150</t>
  </si>
  <si>
    <t>XINNIX X5D32 Schuifdeursysteem B 2900 H 2300 Pr 100 Md 150</t>
  </si>
  <si>
    <t>XINNIX X5D32 Schuifdeursysteem B 3000 H 2300 Pr 100 Md 150</t>
  </si>
  <si>
    <t>XINNIX X5D32 Schuifdeursysteem B 1500 H 2700 Pr 100 Md 150</t>
  </si>
  <si>
    <t>XINNIX X5D32 Schuifdeursysteem B 1600 H 2700 Pr 100 Md 150</t>
  </si>
  <si>
    <t>XINNIX X5D32 Schuifdeursysteem B 1700 H 2700 Pr 100 Md 150</t>
  </si>
  <si>
    <t>XINNIX X5D32 Schuifdeursysteem B 1800 H 2700 Pr 100 Md 150</t>
  </si>
  <si>
    <t>XINNIX X5D32 Schuifdeursysteem B 1900 H 2700 Pr 100 Md 150</t>
  </si>
  <si>
    <t>XINNIX X5D32 Schuifdeursysteem B 2000 H 2700 Pr 100 Md 150</t>
  </si>
  <si>
    <t>XINNIX X5D32 Schuifdeursysteem B 2100 H 2700 Pr 100 Md 150</t>
  </si>
  <si>
    <t>XINNIX X5D32 Schuifdeursysteem B 2200 H 2700 Pr 100 Md 150</t>
  </si>
  <si>
    <t>XINNIX X5D32 Schuifdeursysteem B 2300 H 2700 Pr 100 Md 150</t>
  </si>
  <si>
    <t>XINNIX X5D32 Schuifdeursysteem B 2400 H 2700 Pr 100 Md 150</t>
  </si>
  <si>
    <t>XINNIX X5D32 Schuifdeursysteem B 2500 H 2700 Pr 100 Md 150</t>
  </si>
  <si>
    <t>XINNIX X5D32 Schuifdeursysteem B 2600 H 2700 Pr 100 Md 150</t>
  </si>
  <si>
    <t>XINNIX X5D32 Schuifdeursysteem B 2700 H 2700 Pr 100 Md 150</t>
  </si>
  <si>
    <t>XINNIX X5D32 Schuifdeursysteem B 2800 H 2700 Pr 100 Md 150</t>
  </si>
  <si>
    <t>XINNIX X5D32 Schuifdeursysteem B 2900 H 2700 Pr 100 Md 150</t>
  </si>
  <si>
    <t>XINNIX X5D32 Schuifdeursysteem B 3000 H 2700 Pr 100 Md 150</t>
  </si>
  <si>
    <t>XINNIX X5D32 Schuifdeursysteem B 1500 H 3000 Pr 100 Md 150</t>
  </si>
  <si>
    <t>XINNIX X5D32 Schuifdeursysteem B 1600 H 3000 Pr 100 Md 150</t>
  </si>
  <si>
    <t>XINNIX X5D32 Schuifdeursysteem B 1700 H 3000 Pr 100 Md 150</t>
  </si>
  <si>
    <t>XINNIX X5D32 Schuifdeursysteem B 1800 H 3000 Pr 100 Md 150</t>
  </si>
  <si>
    <t>XINNIX X5D32 Schuifdeursysteem B 1900 H 3000 Pr 100 Md 150</t>
  </si>
  <si>
    <t>XINNIX X5D32 Schuifdeursysteem B 2000 H 3000 Pr 100 Md 150</t>
  </si>
  <si>
    <t>XINNIX X5D32 Schuifdeursysteem B 2100 H 3000 Pr 100 Md 150</t>
  </si>
  <si>
    <t>XINNIX X5D32 Schuifdeursysteem B 2200 H 3000 Pr 100 Md 150</t>
  </si>
  <si>
    <t>XINNIX X5D32 Schuifdeursysteem B 2300 H 3000 Pr 100 Md 150</t>
  </si>
  <si>
    <t>XINNIX X5D32 Schuifdeursysteem B 2400 H 3000 Pr 100 Md 150</t>
  </si>
  <si>
    <t>XINNIX X5D32 Schuifdeursysteem B 2500 H 3000 Pr 100 Md 150</t>
  </si>
  <si>
    <t>XINNIX X5D32 Schuifdeursysteem B 2600 H 3000 Pr 100 Md 150</t>
  </si>
  <si>
    <t>XINNIX X5D32 Schuifdeursysteem B 2700 H 3000 Pr 100 Md 150</t>
  </si>
  <si>
    <t>XINNIX X5D32 Schuifdeursysteem B 2800 H 3000 Pr 100 Md 150</t>
  </si>
  <si>
    <t>XINNIX X5D32 Schuifdeursysteem B 2900 H 3000 Pr 100 Md 150</t>
  </si>
  <si>
    <t>XINNIX X5D32 Schuifdeursysteem B 3000 H 3000 Pr 100 Md 150</t>
  </si>
  <si>
    <t>XINNIX X5D32 Schuifdeursysteem B 1500 H 3500 Pr 100 Md 150</t>
  </si>
  <si>
    <t>XINNIX X5D32 Schuifdeursysteem B 1600 H 3500 Pr 100 Md 150</t>
  </si>
  <si>
    <t>XINNIX X5D32 Schuifdeursysteem B 1700 H 3500 Pr 100 Md 150</t>
  </si>
  <si>
    <t>XINNIX X5D32 Schuifdeursysteem B 1800 H 3500 Pr 100 Md 150</t>
  </si>
  <si>
    <t>XINNIX X5D32 Schuifdeursysteem B 1900 H 3500 Pr 100 Md 150</t>
  </si>
  <si>
    <t>XINNIX X5D32 Schuifdeursysteem B 2000 H 3500 Pr 100 Md 150</t>
  </si>
  <si>
    <t>XINNIX X5D32 Schuifdeursysteem B 2100 H 3500 Pr 100 Md 150</t>
  </si>
  <si>
    <t>XINNIX X5D32 Schuifdeursysteem B 2200 H 3500 Pr 100 Md 150</t>
  </si>
  <si>
    <t>XINNIX X5D32 Schuifdeursysteem B 2300 H 3500 Pr 100 Md 150</t>
  </si>
  <si>
    <t>XINNIX X5D32 Schuifdeursysteem B 2400 H 3500 Pr 100 Md 150</t>
  </si>
  <si>
    <t>XINNIX X5D32 Schuifdeursysteem B 2500 H 3500 Pr 100 Md 150</t>
  </si>
  <si>
    <t>XINNIX X5D32 Schuifdeursysteem B 2600 H 3500 Pr 100 Md 150</t>
  </si>
  <si>
    <t>XINNIX X5D32 Schuifdeursysteem B 2700 H 3500 Pr 100 Md 150</t>
  </si>
  <si>
    <t>XINNIX X5D32 Schuifdeursysteem B 2800 H 3500 Pr 100 Md 150</t>
  </si>
  <si>
    <t>XINNIX X5D32 Schuifdeursysteem B 2900 H 3500 Pr 100 Md 150</t>
  </si>
  <si>
    <t>XINNIX X5D32 Schuifdeursysteem B 3000 H 3500 Pr 100 Md 150</t>
  </si>
  <si>
    <t>XA-3010.I</t>
  </si>
  <si>
    <t>XA-3012.I</t>
  </si>
  <si>
    <t>XA-3035.I</t>
  </si>
  <si>
    <t>XA-3040.W</t>
  </si>
  <si>
    <t>XA-3040.B</t>
  </si>
  <si>
    <t>XA-3040.I</t>
  </si>
  <si>
    <t>XA-3045</t>
  </si>
  <si>
    <t>XA-3050.I</t>
  </si>
  <si>
    <t>XA-3060.I</t>
  </si>
  <si>
    <t>XA-3100.I</t>
  </si>
  <si>
    <t>XA-3105.I</t>
  </si>
  <si>
    <t>XA-3300.I</t>
  </si>
  <si>
    <t>XA-3335.I</t>
  </si>
  <si>
    <t>XA-3340.W</t>
  </si>
  <si>
    <t>XA-3340.B</t>
  </si>
  <si>
    <t>XA-3340.I</t>
  </si>
  <si>
    <t>XA-3345.I</t>
  </si>
  <si>
    <t>XA-3350.I</t>
  </si>
  <si>
    <t>XA-3723.W</t>
  </si>
  <si>
    <t>XA-3723.B</t>
  </si>
  <si>
    <t>XA-3723.I</t>
  </si>
  <si>
    <t>XA-3739.B</t>
  </si>
  <si>
    <t>XA-3739.I</t>
  </si>
  <si>
    <t>XA-3410.I</t>
  </si>
  <si>
    <t>XA-3435.I</t>
  </si>
  <si>
    <t>XA-3440.I</t>
  </si>
  <si>
    <t>XA-3445.I</t>
  </si>
  <si>
    <t>XA-3772.B</t>
  </si>
  <si>
    <t>XA-3772.I</t>
  </si>
  <si>
    <t>XA-3777.I</t>
  </si>
  <si>
    <t>XA-3778.W</t>
  </si>
  <si>
    <t>XA-3778.B</t>
  </si>
  <si>
    <t>XA-3778.I</t>
  </si>
  <si>
    <t>XA-3703.I</t>
  </si>
  <si>
    <t>XA-3704.I</t>
  </si>
  <si>
    <t>XA-3705.I</t>
  </si>
  <si>
    <t>XA-3710.B</t>
  </si>
  <si>
    <t>XA-3710.I</t>
  </si>
  <si>
    <t>XA-3738.I</t>
  </si>
  <si>
    <t>XA-3101.B</t>
  </si>
  <si>
    <t>XA-3101.I</t>
  </si>
  <si>
    <t>XA-3301.B</t>
  </si>
  <si>
    <t>XA-3301.I</t>
  </si>
  <si>
    <t>X5-XINNIXGL-23.100/1</t>
  </si>
  <si>
    <t>X5-XINNIXGL-23.100/2</t>
  </si>
  <si>
    <t xml:space="preserve">Extra </t>
  </si>
  <si>
    <t>X5050</t>
  </si>
  <si>
    <t>X5060</t>
  </si>
  <si>
    <t>X5065-L</t>
  </si>
  <si>
    <t>X5065-R</t>
  </si>
  <si>
    <t>DOOR LEAF</t>
  </si>
  <si>
    <t>HEIGHT</t>
  </si>
  <si>
    <t>WIDTH</t>
  </si>
  <si>
    <t>INTEGRATION SIZE</t>
  </si>
  <si>
    <t xml:space="preserve">HEIGHT </t>
  </si>
  <si>
    <t>FREE PASSAGE</t>
  </si>
  <si>
    <t>X5D32-WALL2715</t>
  </si>
  <si>
    <t>X5D32-WALL3015</t>
  </si>
  <si>
    <t>…</t>
  </si>
  <si>
    <t xml:space="preserve">X5 order form </t>
  </si>
  <si>
    <t xml:space="preserve">Plating? </t>
  </si>
  <si>
    <t xml:space="preserve">Single or double door? </t>
  </si>
  <si>
    <t xml:space="preserve">Finishing? </t>
  </si>
  <si>
    <t xml:space="preserve">Thickness door leaf? </t>
  </si>
  <si>
    <t xml:space="preserve">Finished wall thickness </t>
  </si>
  <si>
    <t>Number of  X5 sets</t>
  </si>
  <si>
    <t>Products</t>
  </si>
  <si>
    <t>Code</t>
  </si>
  <si>
    <t>Description</t>
  </si>
  <si>
    <t>Amount of boxes  for 1 set</t>
  </si>
  <si>
    <t>Total amount of boxes</t>
  </si>
  <si>
    <t>Amount?</t>
  </si>
  <si>
    <t>Uprights</t>
  </si>
  <si>
    <t>Extra uprights</t>
  </si>
  <si>
    <t>Rail + hardware</t>
  </si>
  <si>
    <t>Finishing set</t>
  </si>
  <si>
    <t>Sliding door handle</t>
  </si>
  <si>
    <t>XINNIX SLIDING DOOR ROUND HANDLE 10 MM</t>
  </si>
  <si>
    <t>XINNIX SLIDING DOOR ROUND HANDLE 12 MM</t>
  </si>
  <si>
    <t>XINNIX SLIDING DOOR ROUND HANDLE 35 MM</t>
  </si>
  <si>
    <t>XINNIX SLIDING DOOR ROUND HANDLE 40 MM WHITE</t>
  </si>
  <si>
    <t>XINNIX SLIDING DOOR ROUND HANDLE 40 MM BLACK</t>
  </si>
  <si>
    <t>XINNIX SLIDING DOOR ROUND HANDLE 40 MM</t>
  </si>
  <si>
    <t>XINNIX SLIDING DOOR ROUND HANDLE 45 MM</t>
  </si>
  <si>
    <t>XINNIX SLIDING DOOR ROUND HANDLE 50 MM</t>
  </si>
  <si>
    <t>XINNIX SLIDING DOOR ROUND HANDLE 60 MM</t>
  </si>
  <si>
    <t>XINNIX SLIDING DOOR Toilet LOCK</t>
  </si>
  <si>
    <t>XINNIX SLIDING DOOR LOCK</t>
  </si>
  <si>
    <t>XINNIX SLIDING DOOR TOILET LOCK STAINLESS S.</t>
  </si>
  <si>
    <t>XINNIX SLIDING DOOR HANDLE SQUARE STAINLESS S. 35 MM</t>
  </si>
  <si>
    <t>XINNIX SLIDING DOOR HANDLE SQUARE WHITE. 40 MM</t>
  </si>
  <si>
    <t>XINNIX SLIDING DOOR HANDLE SQUARE BLACK 40 MM</t>
  </si>
  <si>
    <t>XINNIX SLIDING DOOR HANDLE SQUARE STAINLESS S. 40 MM</t>
  </si>
  <si>
    <t>XINNIX SLIDING DOOR HANDLE SQUARE STAINLESS S. 45 MM</t>
  </si>
  <si>
    <t>XINNIX SLIDING DOOR HANDLE SQUARE STAINLESS S. 50 MM</t>
  </si>
  <si>
    <t>XINNIX SLIDING DOOR HANDLE SQUARE WHITE. 40 MM - RIGHT CORNERS</t>
  </si>
  <si>
    <t>XINNIX SLIDING DOOR HANDLE SQUARE BLACK 40 MM - RIGHT CORNERS</t>
  </si>
  <si>
    <t>XINNIX SLIDING DOOR HANDLE SQUARE STAINLESS S. 40 MM - RIGHT CORNERS</t>
  </si>
  <si>
    <t>XINNIX SLIDING DOOR HANDLE SQUARE BLACK 50 MM- RIGHT CORNERS</t>
  </si>
  <si>
    <t>XINNIX SLIDING DOOR HANDLE SQUARE STAINLESS S. 50 MM- RIGHT CORNERS</t>
  </si>
  <si>
    <t>XINNIX SLIDING DOOR OPEN ROUND HANDLE 10 MM</t>
  </si>
  <si>
    <t>XINNIX SLIDING DOOR OPEN ROUND HANDLE 35 MM</t>
  </si>
  <si>
    <t>XINNIX SLIDING DOOR OPEN ROUND HANDLE 40 MM</t>
  </si>
  <si>
    <t>XINNIX SLIDING DOOR OPEN ROUND HANDLE 45 MM</t>
  </si>
  <si>
    <t>Horizontal handle, right corners BLACK</t>
  </si>
  <si>
    <t>Horizontal handle, right corners INOX</t>
  </si>
  <si>
    <t>Horizontal handle, right corners</t>
  </si>
  <si>
    <t>Horizontal handle, right corners WHITE</t>
  </si>
  <si>
    <t>XINNIX SLIDING DOOR HANDLE SQUARE STAINLESS S. 120x55x40 mm</t>
  </si>
  <si>
    <t>XINNIX SLIDING DOOR HANDLE SQUARE STAINLESS S. 120x55x43 mm</t>
  </si>
  <si>
    <t>XINNIX SLIDING DOOR HANDLE SQUARE STAINLESS S. 120x55x50 mm</t>
  </si>
  <si>
    <t>XINNIX SLIDING DOOR HANDLE SQUARE SS. GLASS BLACK 10 mm</t>
  </si>
  <si>
    <t>XINNIX SLIDING DOOR HANDLE SQUARE SS. GLASS 10 mm</t>
  </si>
  <si>
    <t>XINNIX SLIDING DOOR HANDLE SQUARE SS.</t>
  </si>
  <si>
    <t>XINNIX SLIDING DOOR Toilet LOCK BLACK</t>
  </si>
  <si>
    <t>Double</t>
  </si>
  <si>
    <t>Double X5D32</t>
  </si>
  <si>
    <t>Wood</t>
  </si>
  <si>
    <t>Glass</t>
  </si>
  <si>
    <t>Single</t>
  </si>
  <si>
    <t>No</t>
  </si>
  <si>
    <t>Symmetric</t>
  </si>
  <si>
    <t xml:space="preserve">Extra set uprights necessary </t>
  </si>
  <si>
    <t xml:space="preserve">MS 50 only possible with a glass door </t>
  </si>
  <si>
    <t>The combination MS 50 and wood is not possible</t>
  </si>
  <si>
    <t>This height is too high and not possible</t>
  </si>
  <si>
    <t>This width is too wide and not possible</t>
  </si>
  <si>
    <t>With a glass door with MS50 you need double plating</t>
  </si>
  <si>
    <t>No X5 for glass with MS100 available</t>
  </si>
  <si>
    <t>Wood or glass?</t>
  </si>
  <si>
    <t>X5D-2415</t>
  </si>
  <si>
    <t>X5D32-2415</t>
  </si>
  <si>
    <t>X5-WALL2415</t>
  </si>
  <si>
    <t>X5D-WALL2415</t>
  </si>
  <si>
    <t>X5D32-WALL2415</t>
  </si>
  <si>
    <t>Single (&lt;2315) X5</t>
  </si>
  <si>
    <t>Double X5D</t>
  </si>
  <si>
    <t>Telescopic</t>
  </si>
  <si>
    <t>Choose your sliding door handle here</t>
  </si>
  <si>
    <t>Remark</t>
  </si>
  <si>
    <t xml:space="preserve">A sliding door with MS50 has no softclose </t>
  </si>
  <si>
    <t>reference</t>
  </si>
  <si>
    <t>XINNIX SLIDING DOOR HANDLE SQUARE WHITE 50 MM</t>
  </si>
  <si>
    <t>XINNIX SLIDING DOOR HANDLE SQUARE BLACK 50 MM</t>
  </si>
  <si>
    <t>XA-3350.B</t>
  </si>
  <si>
    <t>XA-3350.W</t>
  </si>
  <si>
    <t>Types</t>
  </si>
  <si>
    <t>X5</t>
  </si>
  <si>
    <t>Xinnix</t>
  </si>
  <si>
    <t>X5D</t>
  </si>
  <si>
    <t>X5 XXL</t>
  </si>
  <si>
    <t>WALL</t>
  </si>
  <si>
    <t>Pure</t>
  </si>
  <si>
    <t>X5 double</t>
  </si>
  <si>
    <t>X5D32</t>
  </si>
  <si>
    <t>X5 angle</t>
  </si>
  <si>
    <t>Plating</t>
  </si>
  <si>
    <t>Standard or wall</t>
  </si>
  <si>
    <t>Finish</t>
  </si>
  <si>
    <t>X5 symmetric (on demand, sales@xinnix.eu)</t>
  </si>
  <si>
    <t>X5 telescopic (on demande, sales@xinnix.eu)</t>
  </si>
  <si>
    <t>A glass door has always a thickness of 10 or 12 mm</t>
  </si>
  <si>
    <t>X5 synchroon systeem voor dubbele schuifdeur</t>
  </si>
  <si>
    <t xml:space="preserve">X5 parallel systeem met tandriem </t>
  </si>
  <si>
    <t xml:space="preserve">Aanhaakset voor parallelsysteem links </t>
  </si>
  <si>
    <t xml:space="preserve">Aanhaakset voor parallelsysteem rechts </t>
  </si>
  <si>
    <t>XINNIX X5 sliding door system  Single Plating (1/2)</t>
  </si>
  <si>
    <t>XINNIX X5D sliding door system  DOUBLE Plating (1/2)</t>
  </si>
  <si>
    <t>XINNIX X5D sliding door system  DOUBLE Plating  (1/2)</t>
  </si>
  <si>
    <t>XINNIX X5D sliding door system  DOUBLE Plating   (1/2)</t>
  </si>
  <si>
    <t>XINNIX X5D32 sliding door system  DOUBLE Plating (1/2)</t>
  </si>
  <si>
    <t>XINNIX X5D32 sliding door system  DOUBLE Plating  (1/2)</t>
  </si>
  <si>
    <t>XINNIX X5D32 sliding door system  DOUBLE Plating   (1/2)</t>
  </si>
  <si>
    <t>Extra kit  uprights  width&gt;1230 mm H 2115</t>
  </si>
  <si>
    <t>Extra kit  uprights  width&gt;1230 mm H 2315</t>
  </si>
  <si>
    <t>Extra kit  uprights  width&gt;1230 mm H 2715</t>
  </si>
  <si>
    <t>Extra kit  uprights  width&gt;1230 mm H 3015</t>
  </si>
  <si>
    <t>Extra kit  uprights  width&gt;1230 mm H 3515</t>
  </si>
  <si>
    <t>XINNIX X5 sliding door syst Passage 800 Stud 75 Wall 100/125  (2/2)</t>
  </si>
  <si>
    <t>XINNIX X5 sliding door syst Passage 900 Stud 75 Wall 100/125  (2/2)</t>
  </si>
  <si>
    <t>XINNIX X5 sliding door syst Passage 1000 Stud 75 Wall 100/125  (2/2)</t>
  </si>
  <si>
    <t>XINNIX X5 sliding door syst Passage 1200 Stud 75 Wall 100/125  (2/2)</t>
  </si>
  <si>
    <t>XINNIX X5 sliding door syst Passage 1500 Stud 75 Wall 100/125  (2/2)</t>
  </si>
  <si>
    <t>XINNIX X5 sliding door syst Passage 2000 Stud 75 Wall 100/125  (2/2)</t>
  </si>
  <si>
    <t>XINNIX X5 sliding door syst Passage 800 Stud 100 Wall 125/150  (2/2)</t>
  </si>
  <si>
    <t>XINNIX X5 sliding door syst Passage 900 Stud 100 Wall 125/150  (2/2)</t>
  </si>
  <si>
    <t>XINNIX X5 sliding door syst Passage 1000 Stud 100 Wall 125/150  (2/2)</t>
  </si>
  <si>
    <t>XINNIX X5 sliding door syst Passage 1200 Stud 100 Wall 125/150  (2/2)</t>
  </si>
  <si>
    <t>XINNIX X5 sliding door syst Passage 1500 Stud 100 Wall 125/150  (2/2)</t>
  </si>
  <si>
    <t>XINNIX X5 sliding door syst Passage 2000 Stud 100 Wall 125/150  (2/2)</t>
  </si>
  <si>
    <t>XINNIX X5 sliding door syst Passage 2400 Stud 100 Wall 125/150  (2/2)</t>
  </si>
  <si>
    <t>XINNIX X5 sliding door syst Passage 3000 Stud 100 Wall 125/150  (2/2)</t>
  </si>
  <si>
    <t>XINNIX X5 sliding door syst - clamps with cover Passage 800 Stud 50 Wall 100 (2/2)</t>
  </si>
  <si>
    <t>XINNIX X5 sliding door syst - clamps with cover Passage B 900 Stud 50 Wall 100 (2/2)</t>
  </si>
  <si>
    <t>XINNIX X5 sliding door syst - clamps with cover Passage 1000 Stud 50 Wall 100 (2/2)</t>
  </si>
  <si>
    <t>XINNIX X5 sliding door syst - clamps with cover Passage 800 Stud 75 Wall 100/125 (2/2)</t>
  </si>
  <si>
    <t>XINNIX X5 sliding door syst - clamps with cover Passage B 900 Stud 75 Wall 100/125 (2/2)</t>
  </si>
  <si>
    <t>XINNIX X5 sliding door syst - clamps with cover Passage 1000 Stud 75 Wall 100/125  (2/2)</t>
  </si>
  <si>
    <t>XINNIX X5 sliding door syst - clamps with cover Passage 1200 Stud 75 Wall 100/125  (2/2)</t>
  </si>
  <si>
    <t>XINNIX X5 sliding door syst - clamps with cover Passage 1500 Stud 75 Wall 100/125  (2/2)</t>
  </si>
  <si>
    <t>Finishing kit X5 double doors</t>
  </si>
  <si>
    <t>Pocket</t>
  </si>
  <si>
    <t xml:space="preserve">Pocket or WALL? </t>
  </si>
  <si>
    <t>Finishing kit X5 double doors 2400-4000 mm</t>
  </si>
  <si>
    <t>Finishing kit X5 double doors &lt;2400 mm</t>
  </si>
  <si>
    <t>Height door leaf? (mm)</t>
  </si>
  <si>
    <t>Width door leaf? (mm)</t>
  </si>
  <si>
    <t xml:space="preserve">Rail + hardware? </t>
  </si>
  <si>
    <t>XINNIX X5 Hawa sliding door syst Passage 800 Stud 75 Wall 100/125  (2/2)</t>
  </si>
  <si>
    <t>XINNIX X5 Hawa sliding door syst Passage 900 Stud 75 Wall 100/125  (2/2)</t>
  </si>
  <si>
    <t>XINNIX X5 Hawa sliding door syst Passage 1000 Stud 75 Wall 100/125  (2/2)</t>
  </si>
  <si>
    <t>XINNIX X5 Hawa sliding door syst Passage 1200 Stud 75 Wall 100/125  (2/2)</t>
  </si>
  <si>
    <t>Double X5D50</t>
  </si>
  <si>
    <t>X5D50-1972</t>
  </si>
  <si>
    <t>X5D50-2015</t>
  </si>
  <si>
    <t>X5D50-2040</t>
  </si>
  <si>
    <t>X5D50-2115</t>
  </si>
  <si>
    <t>X5D50-2315</t>
  </si>
  <si>
    <t>X5D50-2415</t>
  </si>
  <si>
    <t>X5D50-2715</t>
  </si>
  <si>
    <t>X5D50-3015</t>
  </si>
  <si>
    <t>X5D50-3515</t>
  </si>
  <si>
    <t>X5D50-WALL2415</t>
  </si>
  <si>
    <t>X5D50-WALL2715</t>
  </si>
  <si>
    <t>X5D50-WALL3015</t>
  </si>
  <si>
    <t>X5D50-WALL3515</t>
  </si>
  <si>
    <t>XINNIX X5D50 sliding door system  DOUBLE Plating (1/2)</t>
  </si>
  <si>
    <t>XINNIX X5D50 sliding door system  DOUBLE Plating  (1/2)</t>
  </si>
  <si>
    <t>XINNIX X5D50 sliding door system  DOUBLE Plating   (1/2)</t>
  </si>
  <si>
    <t>A double door with Hawa does not have a box 3:finish.</t>
  </si>
  <si>
    <t>XA-3102.B</t>
  </si>
  <si>
    <t>XA-3102.W</t>
  </si>
  <si>
    <t>XINNIX SLIDING DOOR Toilet LOCK WHITE</t>
  </si>
  <si>
    <t>85..89</t>
  </si>
  <si>
    <t>X5D50</t>
  </si>
  <si>
    <t>XINNIX X5 Hawa sliding door syst Passage 800 Stud 100 Wall 100/125  (2/2)</t>
  </si>
  <si>
    <t>XINNIX X5 Hawa sliding door syst Passage 900 Stud 100 Wall 100/125  (2/2)</t>
  </si>
  <si>
    <t>XINNIX X5 Hawa sliding door syst Passage 1000 Stud 100 Wall 100/125  (2/2)</t>
  </si>
  <si>
    <t>XINNIX X5 Hawa sliding door syst Passage 1200 Stud 100 Wall 100/125  (2/2)</t>
  </si>
  <si>
    <t>Finishing kit X5D Double plating - double doors (free passage &lt;2400 mm)</t>
  </si>
  <si>
    <t>Finishing kit X5D Double plating - double doors (free passage 2400-4000 mm)</t>
  </si>
  <si>
    <t>X5D50-XINNIX-23.175/1</t>
  </si>
  <si>
    <t>X5D50-XINNIX-23.175/2</t>
  </si>
  <si>
    <t>X5D50-XINNIX-23.175/3</t>
  </si>
  <si>
    <t>X5D50-XINNIX-23.200/1</t>
  </si>
  <si>
    <t>X5D50-XINNIX-23.200/2</t>
  </si>
  <si>
    <t>X5D50-XINNIX-23.200/3</t>
  </si>
  <si>
    <t>X5D50-XINNIX-27.175/1</t>
  </si>
  <si>
    <t>X5D50-XINNIX-27.175/2</t>
  </si>
  <si>
    <t>X5D50-XINNIX-27.175/3</t>
  </si>
  <si>
    <t>X5D50-XINNIX-27.200/1</t>
  </si>
  <si>
    <t>X5D50-XINNIX-27.200/2</t>
  </si>
  <si>
    <t>X5D50-XINNIX-27.200/3</t>
  </si>
  <si>
    <t>X5D50-XINNIX-30.175/1</t>
  </si>
  <si>
    <t>X5D50-XINNIX-30.175/2</t>
  </si>
  <si>
    <t>X5D50-XINNIX-30.175/3</t>
  </si>
  <si>
    <t>X5D50-XINNIX-30.200/1</t>
  </si>
  <si>
    <t>X5D50-XINNIX-30.200/2</t>
  </si>
  <si>
    <t>X5D50-XINNIX-30.200/3</t>
  </si>
  <si>
    <t>X5D50-XINNIX-35.200/1</t>
  </si>
  <si>
    <t>X5D50-XINNIX-35.200/2</t>
  </si>
  <si>
    <t>X5D50-XINNIX-35.200/3</t>
  </si>
  <si>
    <t>X5-PURE-23.175</t>
  </si>
  <si>
    <t>X5-PURE-27.175</t>
  </si>
  <si>
    <t>X5-PURE-30.175</t>
  </si>
  <si>
    <t>X5-PURE-35.175</t>
  </si>
  <si>
    <t>X5-PURE-23.200</t>
  </si>
  <si>
    <t>X5-PURE-27.200</t>
  </si>
  <si>
    <t>X5-PURE-30.200</t>
  </si>
  <si>
    <t>X5-PURE-35.200</t>
  </si>
  <si>
    <t>X5D50-XINNIXGL-23.150/1</t>
  </si>
  <si>
    <t>X5D50-XINNIXGL-23.150/2</t>
  </si>
  <si>
    <t>X5D50-XINNIXGL-27.150/1</t>
  </si>
  <si>
    <t>X5D50-XINNIXGL-27.150/2</t>
  </si>
  <si>
    <t>X5D50-XINNIXGL-23.175/1</t>
  </si>
  <si>
    <t>X5D50-XINNIXGL-23.175/2</t>
  </si>
  <si>
    <t>X5D50-XINNIXGL-27.175/1</t>
  </si>
  <si>
    <t>X5D50-XINNIXGL-27.175/2</t>
  </si>
  <si>
    <t>X5D50-XINNIXGL-30.175/1</t>
  </si>
  <si>
    <t>X5D50-XINNIXGL-30.175/2</t>
  </si>
  <si>
    <t>X5-PUREGL-23.150</t>
  </si>
  <si>
    <t>X5-PUREGL-27.150</t>
  </si>
  <si>
    <t>X5-PUREGL-30.150</t>
  </si>
  <si>
    <t>X5-PUREGL-23.175</t>
  </si>
  <si>
    <t>X5-PUREGL-27.175</t>
  </si>
  <si>
    <t>X5-PUREGL-30.175</t>
  </si>
  <si>
    <t>XINNIX X5D32 finishing kit H 2315 B 1230 for Double plating  (&lt;1230mm)</t>
  </si>
  <si>
    <t>XINNIX X5D32 finishing kit H 2315 B 2400 for Double plating   (1230mm - 2400mm)</t>
  </si>
  <si>
    <t>XINNIX X5D32 finishing kit H 2315 B 3600 for Double plating  (2400mm - 3600mm)</t>
  </si>
  <si>
    <t>XINNIX X5D finishing kit H 2315 B 1230 for Double plating  (&lt;1230mm)</t>
  </si>
  <si>
    <t>XINNIX X5D finishing kit H 2315 B 2400 for Double plating   (1230mm - 2400mm)</t>
  </si>
  <si>
    <t>XINNIX X5D finishing kit H 2315 B 3600 for Double plating  (2400mm - 3600mm)</t>
  </si>
  <si>
    <t>XINNIX X5 finishing kit H 2315 MS 75</t>
  </si>
  <si>
    <t>XINNIX X5/X5D finishing kit H 2315</t>
  </si>
  <si>
    <t>XINNIX X5D32 finishing kit H 2315 MS 75</t>
  </si>
  <si>
    <t>XINNIX X5D finishing kit H 2315 MS 100</t>
  </si>
  <si>
    <t>XINNIX X5D32 finishing kit H  2315 MS 100</t>
  </si>
  <si>
    <t>XINNIX X5/X5D finishing kit H 2315 GLASSS</t>
  </si>
  <si>
    <t>XINNIX X5D finishing kit H 2315 MS 75 GLASSS</t>
  </si>
  <si>
    <t>XINNIX X5D32 finishing kit H 2315 MS 75 GLASSS</t>
  </si>
  <si>
    <t>XINNIX X5D32 finishing kit H 2315 MS 100 GLASSS</t>
  </si>
  <si>
    <t>XINNIX X5D50 Finish H 2315 MS 75</t>
  </si>
  <si>
    <t>XINNIX X5D32 finishing kit H 2715 B 1230 for Double plating  (&lt;1230mm)</t>
  </si>
  <si>
    <t>XINNIX X5D32 finishing kit H 2715 B 2400 for Double plating   (1230mm - 2400mm)</t>
  </si>
  <si>
    <t>XINNIX X5D32 finishing kit H 2715 B 3600 for Double plating  (2400mm - 3600mm)</t>
  </si>
  <si>
    <t>XINNIX X5D finishing kit H 2715 B 1230 for Double plating  (&lt;1230mm)</t>
  </si>
  <si>
    <t>XINNIX X5D finishing kit H 2715 B 2400 for Double plating   (1230mm - 2400mm)</t>
  </si>
  <si>
    <t>XINNIX X5D finishing kit H 2715 B 3600 for Double plating  (2400mm - 3600mm)</t>
  </si>
  <si>
    <t>XINNIX X5/X5D finishing kit H 2715</t>
  </si>
  <si>
    <t>XINNIX X5D32 finishing kit H 2715 MS 75</t>
  </si>
  <si>
    <t>XINNIX X5D finishing kit H 2715 MS 100</t>
  </si>
  <si>
    <t>XINNIX X5D32 finishing kit H 2715 MS 100</t>
  </si>
  <si>
    <t>XINNIX X5/X5D finishing kit H 2715 GLASSS</t>
  </si>
  <si>
    <t>XINNIX X5D finishing kit H 2715 MS 75 GLASSS</t>
  </si>
  <si>
    <t>XINNIX X5D32 finishing kit H 2715 MS 75 GLASSS</t>
  </si>
  <si>
    <t>XINNIX X5D32 finishing kit H 2715 MS 100 GLASSS</t>
  </si>
  <si>
    <t>XINNIX X5D50 Finish H 2715 MS 75</t>
  </si>
  <si>
    <t>XINNIX X5D50 Finish H 2715 MS 100</t>
  </si>
  <si>
    <t>XINNIX X5D32 finishing kit H 3015 B 2400 for Double plating   (1230mm - 2400mm)</t>
  </si>
  <si>
    <t>XINNIX X5D32 finishing kit H 3015 B 3600 for Double plating  (2400mm - 3600mm)</t>
  </si>
  <si>
    <t>XINNIX X5D32 finishing kit H 3015 B 1230 for Double plating   (&lt;1230mm)</t>
  </si>
  <si>
    <t>XINNIX X5D finishing kit H 3015 B 2400 for Double plating   (1230mm - 2400mm)</t>
  </si>
  <si>
    <t>XINNIX X5D finishing kit H 3015 B 3600 for Double plating  (2400mm - 3600mm)</t>
  </si>
  <si>
    <t>XINNIX X5D finishing kit H 3015 B 1230 for Double plating   (&lt;1230mm)</t>
  </si>
  <si>
    <t>XINNIX X5/X5D finishing kit H 3015</t>
  </si>
  <si>
    <t>XINNIX X5D32 finishing kit H 3015 MS 75</t>
  </si>
  <si>
    <t>XINNIX X5D finishing kit H 3015 MS 100</t>
  </si>
  <si>
    <t>XINNIX X5D32 finishing kit H 3015 MS 100</t>
  </si>
  <si>
    <t>XINNIX X5/X5D finishing kit H 3015 GLASSS</t>
  </si>
  <si>
    <t>XINNIX X5D finishing kit H 3015 MS 75 GLASSS</t>
  </si>
  <si>
    <t>XINNIX X5D32 finishing kit H 3015 MS 75 GLASSS</t>
  </si>
  <si>
    <t>XINNIX X5D32 finishing kit H 3015 MS 100 GLASSS</t>
  </si>
  <si>
    <t>XINNIX X5D50 Finish H 3015 MS 75</t>
  </si>
  <si>
    <t>XINNIX X5D50 Finish H 3015 MS 100</t>
  </si>
  <si>
    <t>XINNIX X5D32 finishing kit H 3515 B 1230 for Double plating   (&lt;1230mm)</t>
  </si>
  <si>
    <t>XINNIX X5D32 finishing kit H 3515 B 2400 for Double plating   (1230mm - 2400mm)</t>
  </si>
  <si>
    <t>XINNIX X5D32 finishing kit H 3515 MS 75</t>
  </si>
  <si>
    <t>XINNIX X5D32 finishing kit H 3515 MS 100</t>
  </si>
  <si>
    <t>XINNIX X5D50 Finish H 3515 MS 75</t>
  </si>
  <si>
    <t>XINNIX X5D50 Finish H 3515 MS 100</t>
  </si>
  <si>
    <t>Finishing kit X5D32 Double plating - double doors (free passage &lt;2400 mm)</t>
  </si>
  <si>
    <t>Finishing kit X5D32 Double plating - double doors (free passage 2400-4000 mm)</t>
  </si>
  <si>
    <t>XINNIX X5D finishing kit H 3015 B 2400  MS 75 GLASSS</t>
  </si>
  <si>
    <t>XINNIX X5D finishing kit H 3015 B 2400 MS 75 GLASSS</t>
  </si>
  <si>
    <t>XINNIX X5D32 finishing kit H 2315 B 2400 MS 50 GLASSS</t>
  </si>
  <si>
    <t>XINNIX X5D32 finishing kit H 2315 B 2400 MS 75 GLASSS</t>
  </si>
  <si>
    <t>XINNIX X5D32 finishing kit H 2715 B 2400 MS 50 GLASSS</t>
  </si>
  <si>
    <t>XINNIX X5D32 finishing kit H 2715 B 2400 MS 75 GLASSS</t>
  </si>
  <si>
    <t>XINNIX X5D32 finishing kit H 3015 B 2400 MS 75 GLASSS</t>
  </si>
  <si>
    <t>XINNIX X5 finishing kit H 2315 B 2400 MS 75 (1230-2400mm)</t>
  </si>
  <si>
    <t>XINNIX X5 finishing kit H 2315 B 2400 MS 100 (1230-2400mm)</t>
  </si>
  <si>
    <t>XINNIX X5/X5D finishing kit H 2315 B 2400  (1230-2400mm) GLASSs</t>
  </si>
  <si>
    <t>XINNIX X5D50 Finish H 2315 B 2400 voor double plating   (1230 mm - 2400 mm)</t>
  </si>
  <si>
    <t>XINNIX X5D50 Finish H 2315 B 3600 voor double plating   (2400mm - 3600 mm)</t>
  </si>
  <si>
    <t>XINNIX X5D50 Finish H 2315 B 3600 voor double plating   (2400 mm - 3600 mm)</t>
  </si>
  <si>
    <t>XINNIX X5D50 Finish H 2715 B 2400 voor double plating   (1230 mm - 2400 mm)</t>
  </si>
  <si>
    <t>XINNIX X5D50 Finish H 2715 B 3600 voor double plating   (2400 mm - 3600 mm)</t>
  </si>
  <si>
    <t>XINNIX X5D50 Finish H 3015 B 2400 voor double plating   (1230 mm - 2400 mm)</t>
  </si>
  <si>
    <t>XINNIX X5D50 Finish H 3015 B 3600 voor double plating   (2400 mm - 3600 mm)</t>
  </si>
  <si>
    <t>XINNIX X5D50 Finish H 3515 B 2400 voor double plating   (&lt;1230 mm)</t>
  </si>
  <si>
    <t>XINNIX X5D50 Finish H 3515 B 2400 voor double plating   (1230 mm - 2400 mm)</t>
  </si>
  <si>
    <t>XINNIX X5D50 Finish H 3515 B 3600 voor double plating    (2400 mm - 3600 mm)</t>
  </si>
  <si>
    <t>XINNIX X5D50 Finish H 2315 B 2400 MS 50 GLASS</t>
  </si>
  <si>
    <t>XINNIX X5D50 Finish H 2715 B 2400 MS 50 GLASS</t>
  </si>
  <si>
    <t>XINNIX X5D50 Finish H 2315 B 2400 MS 75 GLASS</t>
  </si>
  <si>
    <t>XINNIX X5D50 Finish H 2715 B 2400 MS 75 GLASS</t>
  </si>
  <si>
    <t>XINNIX X5D50 Finish H 3015 B 2400 MS 75 GLASS</t>
  </si>
  <si>
    <t>XINNIX X5 finishing kit H 2315 B 1230 MS 75 (&lt;1230mm)</t>
  </si>
  <si>
    <t>XINNIX X5 finishing kit H 2315 B 1230 MS 100  (&lt;1230mm)</t>
  </si>
  <si>
    <t>XINNIX X5/X5D finishing kit H 2315 B 1230 (&lt;1230mm) GLASSs</t>
  </si>
  <si>
    <t>XINNIX X5D50 Finish H 2315 B 1230 voor double plating   (&lt;1230 mm)</t>
  </si>
  <si>
    <t>XINNIX X5D50 Finish H 2715 B 1230 voor double plating   (&lt;1230mm)</t>
  </si>
  <si>
    <t>XINNIX X5D50 Finish H 3015 B 1230 voor double plating   (&lt;1230mm)</t>
  </si>
  <si>
    <t>XINNIX X5D50 Finish H 2315 MS 100</t>
  </si>
  <si>
    <t>XINNIX X5/X5D finishing kit H 2315 B 1230  GLASSS</t>
  </si>
  <si>
    <t>XINNIX X5D finishing kit H 2315 B 1230 MS 75 GLASSS</t>
  </si>
  <si>
    <t>XINNIX X5D finishing kit H 2715 B 1230 MS 75 GLASSS</t>
  </si>
  <si>
    <t>XINNIX X5D finishing kit H 3015 B 1230 MS 75 GLASSS</t>
  </si>
  <si>
    <t>XINNIX X5D32 finishing kit H 2315 B 1230 MS 50 GLASSS</t>
  </si>
  <si>
    <t>XINNIX X5D32 finishing kit H 2315 B 1230 MS 75 GLASSS</t>
  </si>
  <si>
    <t>XINNIX X5D32 finishing kit H 2715 B 1230 MS 50 GLASSS</t>
  </si>
  <si>
    <t>XINNIX X5D32 finishing kit H 2715 B 1230 MS 75 GLASSS</t>
  </si>
  <si>
    <t>XINNIX X5D32 finishing kit H 3015 B 1230 MS 75 GLASSS</t>
  </si>
  <si>
    <t>XINNIX X5D50 Finish H 2315 B 1230 MS 50 GLASS</t>
  </si>
  <si>
    <t>XINNIX X5D50 Finish H 2715 B 1230 MS 50 GLASS</t>
  </si>
  <si>
    <t>XINNIX X5D50 Finish H 2315 B 1230 MS 75 GLASS</t>
  </si>
  <si>
    <t>XINNIX X5D50 Finish H 2715 B 1230 MS 75 GLASS</t>
  </si>
  <si>
    <t>XINNIX X5D50 Finish H 3015 B 1230 MS 75 GLASS</t>
  </si>
  <si>
    <t>XINNIX X5D50 Finish H 2315 GLASS MS 50 GLASS</t>
  </si>
  <si>
    <t>XINNIX X5D50 Finish H 2715 GLASS MS 50 GLASS</t>
  </si>
  <si>
    <t>XINNIX X5D50 Finish H 3015 GLASS MS 50 GLASS</t>
  </si>
  <si>
    <t>XINNIX X5D50 Finish H 2315 GLASS MS 75 GLASS</t>
  </si>
  <si>
    <t>XINNIX X5D50 Finish H 2715 GLASS MS 75 GLASS</t>
  </si>
  <si>
    <t>XINNIX X5D50 Finish H 3015 GLASS MS 75 GLASS</t>
  </si>
  <si>
    <t>X5D50-XINNIX/D.1</t>
  </si>
  <si>
    <t>X5D50-XINNIX/D.2</t>
  </si>
  <si>
    <t>Finishing kit X5D50 Double plating - double doors (free passage &lt;2400 mm)</t>
  </si>
  <si>
    <t>Finishing kit X5D50 Double plating - double doors (free passage 2400-4000 mm)</t>
  </si>
  <si>
    <t>A</t>
  </si>
  <si>
    <t>B</t>
  </si>
  <si>
    <t>Width door (mm)</t>
  </si>
  <si>
    <t>Height door (mm)</t>
  </si>
  <si>
    <t>a</t>
  </si>
  <si>
    <t>b</t>
  </si>
  <si>
    <t>c</t>
  </si>
  <si>
    <t xml:space="preserve">Telescopic(1) or symmetric(2) system </t>
  </si>
  <si>
    <t>Hp&gt;2315 mm double plating  X5D/X5D32</t>
  </si>
  <si>
    <t>Hp&gt;3015 mm double plating X5D32</t>
  </si>
  <si>
    <t>Hp&gt;2410 mm WALL with double plating X5D/X5D32</t>
  </si>
  <si>
    <t>Hp&gt;2315 mm + MS75 at your own risk (we recommend MS 100)</t>
  </si>
  <si>
    <t>Sliding door for glass with MD 50 max width of 1030 mm</t>
  </si>
  <si>
    <t>X5 finishing XINNIX with MS 75 Hp &lt;= 2315 mm</t>
  </si>
  <si>
    <t>X5 finishing XINNIX with MS 100 Hp &lt;= 2315 mm</t>
  </si>
  <si>
    <t>X5D finishing XINNIX with MS75/100 and X5D32 with MS75 Hp &lt;= 3015 mm</t>
  </si>
  <si>
    <t>X5 MS75/X5D MS75/X5D MS 100 finishing PURE Hp &lt;= 3015 mm</t>
  </si>
  <si>
    <t>X5 MS 75/X5D MS 50 Hp &lt;= 2315 mm</t>
  </si>
  <si>
    <t>X5D32 MS 50 Hp &lt;= 2715 mm</t>
  </si>
  <si>
    <t>MS 75 + door leaf&gt;40 mm not possible!!!</t>
  </si>
  <si>
    <t>Wp&gt;1030 mm + X5  at your own risk (we recommend X5D/X5D32)</t>
  </si>
  <si>
    <t>MS 75 + Wp&gt;1230 mm at your own risk (we recommend MS 100 )</t>
  </si>
  <si>
    <t>Subject to system errors</t>
  </si>
  <si>
    <t>X5-H100-PURE-23.100/40</t>
  </si>
  <si>
    <t>XINNIX X5 HAWA Finish H 2315 wall thickness 100 door thickness &lt;45 mm</t>
  </si>
  <si>
    <t>X5-H100-PURE-23.125/40</t>
  </si>
  <si>
    <t>XINNIX X5 HAWA Finish H 2315 wall thickness 125 door thickness &lt;45 mm</t>
  </si>
  <si>
    <t>X5-H100-PURE-23.125/50</t>
  </si>
  <si>
    <t>XINNIX X5 HAWA Finish H 2315 wall thickness 125 door thickness 45-54 mm</t>
  </si>
  <si>
    <t>X5-H100-PURE-23.125/60</t>
  </si>
  <si>
    <t>XINNIX X5 HAWA Finish H 2315 wall thickness 125 door thickness 55-60 mm</t>
  </si>
  <si>
    <t>X5-H100-PURE-27.125/40</t>
  </si>
  <si>
    <t>XINNIX X5 HAWA Finish H 2715 wall thickness 125 door thickness &lt;45 mm</t>
  </si>
  <si>
    <t>X5-H100-PURE-27.125/50</t>
  </si>
  <si>
    <t>XINNIX X5 HAWA Finish H 2715 wall thickness 125 door thickness 45-54 mm</t>
  </si>
  <si>
    <t>X5-H100-PURE-27.125/60</t>
  </si>
  <si>
    <t>XINNIX X5 HAWA Finish H 2715 wall thickness 125 door thickness 55-60 mm</t>
  </si>
  <si>
    <t>X5-H100-PURE-30.125/40</t>
  </si>
  <si>
    <t>XINNIX X5 HAWA Finish H 3015 wall thickness 125 door thickness &lt;45 mm</t>
  </si>
  <si>
    <t>X5-H100-PURE-30.125/50</t>
  </si>
  <si>
    <t>XINNIX X5 HAWA Finish H 3015 wall thickness 125 door thickness 45-54 mm</t>
  </si>
  <si>
    <t>X5-H100-PURE-30.125/60</t>
  </si>
  <si>
    <t>XINNIX X5 HAWA Finish H 3015 wall thickness 125 door thickness 55-60 mm</t>
  </si>
  <si>
    <t>X5-H100-PURE-23.139/40</t>
  </si>
  <si>
    <t>XINNIX X5 HAWA Finish H 2315 wall thickness 139 door thickness &lt;45 mm</t>
  </si>
  <si>
    <t>X5-H100-PURE-27.139/40</t>
  </si>
  <si>
    <t>XINNIX X5 HAWA Finish H 2715 wall thickness 139 door thickness &lt;45 mm</t>
  </si>
  <si>
    <t>X5-H100-PURE-30.139/40</t>
  </si>
  <si>
    <t>XINNIX X5 HAWA Finish H 3015 wall thickness 139 door thickness &lt;45 mm</t>
  </si>
  <si>
    <t>X5-H100-PURE-23.150/40</t>
  </si>
  <si>
    <t>XINNIX X5 HAWA Finish H 2315 wall thickness 150 door thickness &lt;45 mm</t>
  </si>
  <si>
    <t>X5-H100-PURE-23.150/50</t>
  </si>
  <si>
    <t>XINNIX X5 HAWA Finish H 2315 wall thickness 150 door thickness 45-54 mm</t>
  </si>
  <si>
    <t>X5-H100-PURE-23.150/60</t>
  </si>
  <si>
    <t>XINNIX X5 HAWA Finish H 2315 wall thickness 150 door thickness 55-60 mm</t>
  </si>
  <si>
    <t>X5-H100-PURE-27.150/40</t>
  </si>
  <si>
    <t>XINNIX X5 HAWA Finish H 2715 wall thickness 150 door thickness &lt;45 mm</t>
  </si>
  <si>
    <t>X5-H100-PURE-27.150/50</t>
  </si>
  <si>
    <t>XINNIX X5 HAWA Finish H 2715 wall thickness 150 door thickness 45-54 mm</t>
  </si>
  <si>
    <t>X5-H100-PURE-27.150/60</t>
  </si>
  <si>
    <t>XINNIX X5 HAWA Finish H 2715 wall thickness 150 door thickness 55-60 mm</t>
  </si>
  <si>
    <t>X5-H100-PURE-30.150/40</t>
  </si>
  <si>
    <t>XINNIX X5 HAWA Finish H 3015 wall thickness 150 door thickness &lt;45 mm</t>
  </si>
  <si>
    <t>X5-H100-PURE-30.150/50</t>
  </si>
  <si>
    <t>XINNIX X5 HAWA Finish H 3015 wall thickness 150 door thickness 45-54 mm</t>
  </si>
  <si>
    <t>X5-H100-PURE-30.150/60</t>
  </si>
  <si>
    <t>XINNIX X5 HAWA Finish H 3015 wall thickness 150 door thickness 55-60 mm</t>
  </si>
  <si>
    <t>X5-H100-PURE-23.164/40</t>
  </si>
  <si>
    <t>XINNIX X5 HAWA Finish H 2315 wall thickness 164 door thickness &lt;45 mm</t>
  </si>
  <si>
    <t>X5-H100-PURE-23.164/50</t>
  </si>
  <si>
    <t>XINNIX X5 HAWA Finish H 2315 wall thickness 164 door thickness 45-54 mm</t>
  </si>
  <si>
    <t>X5-H100-PURE-23.164/60</t>
  </si>
  <si>
    <t>XINNIX X5 HAWA Finish H 2315 wall thickness 164 door thickness 55-60 mm</t>
  </si>
  <si>
    <t>X5-H100-PURE-27.164/40</t>
  </si>
  <si>
    <t>XINNIX X5 HAWA Finish H 2715 wall thickness 164 door thickness &lt;45 mm</t>
  </si>
  <si>
    <t>X5-H100-PURE-27.164/50</t>
  </si>
  <si>
    <t>XINNIX X5 HAWA Finish H 2715 wall thickness 164 door thickness 45-54 mm</t>
  </si>
  <si>
    <t>X5-H100-PURE-27.164/60</t>
  </si>
  <si>
    <t>XINNIX X5 HAWA Finish H 2715 wall thickness 164 door thickness 55-60 mm</t>
  </si>
  <si>
    <t>X5-H100-PURE-30.164/40</t>
  </si>
  <si>
    <t>XINNIX X5 HAWA Finish H 3015 wall thickness 164 door thickness &lt;45 mm</t>
  </si>
  <si>
    <t>X5-H100-PURE-30.164/50</t>
  </si>
  <si>
    <t>XINNIX X5 HAWA Finish H 3015 wall thickness 164 door thickness 45-54 mm</t>
  </si>
  <si>
    <t>X5-H100-PURE-30.164/60</t>
  </si>
  <si>
    <t>XINNIX X5 HAWA Finish H 3015 wall thickness 164 door thickness 55-60 mm</t>
  </si>
  <si>
    <t>X5-H100-PURE-23.175/40</t>
  </si>
  <si>
    <t>XINNIX X5 HAWA Finish H 2315 wall thickness 175 door thickness &lt;45 mm</t>
  </si>
  <si>
    <t>X5-H100-PURE-27.175/40</t>
  </si>
  <si>
    <t>XINNIX X5 HAWA Finish H 2715 wall thickness 175 door thickness &lt;45 mm</t>
  </si>
  <si>
    <t>X5-H100-PURE-30.175/40</t>
  </si>
  <si>
    <t>XINNIX X5 HAWA Finish H 3015 wall thickness 175 door thickness &lt;45 mm</t>
  </si>
  <si>
    <t>X5-H100-PURE-23.200/40</t>
  </si>
  <si>
    <t>XINNIX X5 HAWA Finish H 2315 wall thickness 200 door thickness &lt;45 mm</t>
  </si>
  <si>
    <t>X5-H100-PURE-23.200/50</t>
  </si>
  <si>
    <t>XINNIX X5 HAWA Finish H 2315 wall thickness 200 door thickness 45-54 mm</t>
  </si>
  <si>
    <t>X5-H100-PURE-23.200/60</t>
  </si>
  <si>
    <t>XINNIX X5 HAWA Finish H 2315 wall thickness 200 door thickness 55-60 mm</t>
  </si>
  <si>
    <t>X5-H100-PURE-27.200/40</t>
  </si>
  <si>
    <t>XINNIX X5 HAWA Finish H 2715 wall thickness 200 door thickness &lt;45 mm</t>
  </si>
  <si>
    <t>X5-H100-PURE-27.200/50</t>
  </si>
  <si>
    <t>XINNIX X5 HAWA Finish H 2715 wall thickness 200 door thickness 45-54 mm</t>
  </si>
  <si>
    <t>X5-H100-PURE-27.200/60</t>
  </si>
  <si>
    <t>XINNIX X5 HAWA Finish H 2715 wall thickness 200 door thickness 55-60 mm</t>
  </si>
  <si>
    <t>X5-H100-PURE-30.200/40</t>
  </si>
  <si>
    <t>XINNIX X5 HAWA Finish H 3015 wall thickness 200 door thickness &lt;45 mm</t>
  </si>
  <si>
    <t>X5-H100-PURE-30.200/50</t>
  </si>
  <si>
    <t>XINNIX X5 HAWA Finish H 3015 wall thickness 200 door thickness 45-54 mm</t>
  </si>
  <si>
    <t>X5-H100-PURE-30.200/60</t>
  </si>
  <si>
    <t>XINNIX X5 HAWA Finish H 3015 wall thickness 200 door thickness 55-60 mm</t>
  </si>
  <si>
    <t>X5-0830.75</t>
  </si>
  <si>
    <t>X5-0930.75</t>
  </si>
  <si>
    <t>X5-1030.75</t>
  </si>
  <si>
    <t>X5-1230.75</t>
  </si>
  <si>
    <t>X5-1530.75</t>
  </si>
  <si>
    <t>X5-2030.75</t>
  </si>
  <si>
    <t>X5-0830.100</t>
  </si>
  <si>
    <t>X5-0930.100</t>
  </si>
  <si>
    <t>X5-1030.100</t>
  </si>
  <si>
    <t>X5-1230.100</t>
  </si>
  <si>
    <t>X5-1530.100</t>
  </si>
  <si>
    <t>X5-2030.100</t>
  </si>
  <si>
    <t>X5-2430.100</t>
  </si>
  <si>
    <t>X5-3030.100</t>
  </si>
  <si>
    <t>X5-0830.50GLC</t>
  </si>
  <si>
    <t>X5-0930.50GLC</t>
  </si>
  <si>
    <t>X5-1030.50GLC</t>
  </si>
  <si>
    <t>X5-0830.75GLC</t>
  </si>
  <si>
    <t>X5-0930.75GLC</t>
  </si>
  <si>
    <t>X5-1030.75GLC</t>
  </si>
  <si>
    <t>X5-1230.75GLC</t>
  </si>
  <si>
    <t>X5-1530.75GLC</t>
  </si>
  <si>
    <t>X5-H100-0830.75</t>
  </si>
  <si>
    <t>X5-H100-0930.75</t>
  </si>
  <si>
    <t>X5-H100-1030.75</t>
  </si>
  <si>
    <t>X5-H100-1230.75</t>
  </si>
  <si>
    <t>X5-H100-0830.100</t>
  </si>
  <si>
    <t>X5-H100-0930.100</t>
  </si>
  <si>
    <t>X5-H100-1030.100</t>
  </si>
  <si>
    <t>X5-H100-1230.100</t>
  </si>
  <si>
    <t>X5-DS-1030.75</t>
  </si>
  <si>
    <t>X5-DS-1230.75</t>
  </si>
  <si>
    <t>X5-DS-1530.75</t>
  </si>
  <si>
    <t>X5-DS-2030.75</t>
  </si>
  <si>
    <t>X5-DS-0830.75</t>
  </si>
  <si>
    <t>X5-DS-0930.75</t>
  </si>
  <si>
    <t>X5-DS-1030.100</t>
  </si>
  <si>
    <t>X5-DS-1230.100</t>
  </si>
  <si>
    <t>X5-DS-1530.100</t>
  </si>
  <si>
    <t>X5-DS-2030.100</t>
  </si>
  <si>
    <t>X5-DS-2430.100</t>
  </si>
  <si>
    <t>X5-DS-3030.100</t>
  </si>
  <si>
    <t>X5-DS-0830.100</t>
  </si>
  <si>
    <t>X5-DS-0930.100</t>
  </si>
  <si>
    <t>X5-DS-1030.75GLC</t>
  </si>
  <si>
    <t>X5-DS-1230.75GLC</t>
  </si>
  <si>
    <t>X5-DS-1530.75GLC</t>
  </si>
  <si>
    <t>X5-DS-0830.75GLC</t>
  </si>
  <si>
    <t>X5-DS-0930.75GLC</t>
  </si>
  <si>
    <t>XINNIX X5 sliding door syst -  Soft open + soft close - Passage 1000 Stud 75 Wall 100/125  (2/2)</t>
  </si>
  <si>
    <t>XINNIX X5 sliding door syst -  Soft open + soft close - Passage 1200 Stud 75 Wall 100/125  (2/2)</t>
  </si>
  <si>
    <t>XINNIX X5 sliding door syst -  Soft open + soft close - Passage 1500 Stud 75 Wall 100/125  (2/2)</t>
  </si>
  <si>
    <t>XINNIX X5 sliding door syst -  Soft open + soft close - Passage 2000 Stud 75 Wall 100/125  (2/2)</t>
  </si>
  <si>
    <t>XINNIX X5 sliding door syst -  Soft open + soft close - Passage 800 Stud 75 Wall 100/125  (2/2)</t>
  </si>
  <si>
    <t>XINNIX X5 sliding door syst -  Soft open + soft close - Passage 900 Stud 75 Wall 100/125  (2/2)</t>
  </si>
  <si>
    <t>XINNIX X5 sliding door syst -  Soft open + soft close - Passage 1000 Stud 100 Wall 125/150  (2/2)</t>
  </si>
  <si>
    <t>XINNIX X5 sliding door syst -  Soft open + soft close - Passage 1200 Stud 100 Wall 125/150  (2/2)</t>
  </si>
  <si>
    <t>XINNIX X5 sliding door syst -  Soft open + soft close - Passage 1500 Stud 100 Wall 125/150  (2/2)</t>
  </si>
  <si>
    <t>XINNIX X5 sliding door syst -  Soft open + soft close - Passage 2000 Stud 100 Wall 125/150  (2/2)</t>
  </si>
  <si>
    <t>XINNIX X5 sliding door syst -  Soft open + soft close - Passage 2400 Stud 100 Wall 125/150  (2/2)</t>
  </si>
  <si>
    <t>XINNIX X5 sliding door syst -  Soft open + soft close - Passage 3000 Stud 100 Wall 125/150  (2/2)</t>
  </si>
  <si>
    <t>XINNIX X5 sliding door syst -  Soft open + soft close - Passage 800 Stud 100 Wall 125/150  (2/2)</t>
  </si>
  <si>
    <t>XINNIX X5 sliding door syst -  Soft open + soft close - Passage 900 Stud 100 Wall 125/150  (2/2)</t>
  </si>
  <si>
    <t>XINNIX X5 sliding door syst -  Soft open + soft close - Clamps with cover- Passage 1000 Stud 75 Wall 100/125 (2/2)</t>
  </si>
  <si>
    <t>XINNIX X5 sliding door syst -  Soft open + soft close - Clamps with cover- Passage 1200 Stud 75 Wall 100/125 (2/2)</t>
  </si>
  <si>
    <t>XINNIX X5 sliding door syst -  Soft open + soft close - Clamps with cover- Passage 1500 Stud 75 Wall 100/125 (2/2)</t>
  </si>
  <si>
    <t>XINNIX X5 sliding door syst -  Soft open + soft close - Clamps with cover- Passage 800 Stud 75 Wall 100/125 (2/2)</t>
  </si>
  <si>
    <t>XINNIX X5 sliding door syst -  Soft open + soft close - Clamps with cover- Passage 900 Stud 75 Wall 100/125 (2/2)</t>
  </si>
  <si>
    <t>Xinnix Double Soft Slide</t>
  </si>
  <si>
    <t>It is not possible to combine a Hawa rail with a glass door!</t>
  </si>
  <si>
    <t>Combine a Xinnix Double Soft Slide with a MS75!</t>
  </si>
  <si>
    <t>Door leaf</t>
  </si>
  <si>
    <t>Xinnix (1x soft close)</t>
  </si>
  <si>
    <t>Xinnix (2x soft close)</t>
  </si>
  <si>
    <t xml:space="preserve">Your rail is no longer removable if you choose a Xinnix finish. </t>
  </si>
  <si>
    <t>Would you like to order a door leaf?</t>
  </si>
  <si>
    <t>Yes</t>
  </si>
  <si>
    <t>X5D-WALL2115</t>
  </si>
  <si>
    <t>X5D50-WALL2115</t>
  </si>
  <si>
    <t>Wood Xinnix finish</t>
  </si>
  <si>
    <t>Wood Pure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</si>
</sst>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.00\ &quot;€&quot;"/>
    <numFmt numFmtId="165" formatCode="[$€-2]\ #,##0.00;[Red]\-[$€-2]\ #,##0.00"/>
    <numFmt numFmtId="166" formatCode="_ [$€-813]\ * #,##0.00_ ;_ [$€-813]\ * \-#,##0.00_ ;_ [$€-813]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MS Shell Dlg 2"/>
      <charset val="1"/>
    </font>
    <font>
      <sz val="11"/>
      <color theme="1"/>
      <name val="Calibri"/>
      <family val="2"/>
      <scheme val="minor"/>
    </font>
    <font>
      <sz val="8"/>
      <name val="MS Shell Dlg 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theme="1"/>
      <name val="MS Shell Dlg 2"/>
    </font>
    <font>
      <sz val="8"/>
      <color rgb="FF000000"/>
      <name val="MS Shell Dlg 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16"/>
      <color rgb="FFFEFCF4"/>
      <name val="Calibri"/>
      <family val="2"/>
      <scheme val="minor"/>
    </font>
    <font>
      <sz val="11"/>
      <color rgb="FFFEFCF4"/>
      <name val="Calibri"/>
      <family val="2"/>
      <scheme val="minor"/>
    </font>
    <font>
      <sz val="11"/>
      <color rgb="FF1B1B1A"/>
      <name val="Calibri"/>
      <family val="2"/>
      <scheme val="minor"/>
    </font>
    <font>
      <b/>
      <sz val="11"/>
      <color rgb="FF99A29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B1B1A"/>
        <bgColor indexed="64"/>
      </patternFill>
    </fill>
    <fill>
      <patternFill patternType="solid">
        <fgColor rgb="FFD0CFCA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rgb="FF99A297"/>
        <bgColor indexed="64"/>
      </patternFill>
    </fill>
  </fills>
  <borders count="19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3366"/>
      </left>
      <right style="medium">
        <color rgb="FF993366"/>
      </right>
      <top/>
      <bottom/>
      <diagonal/>
    </border>
    <border>
      <left style="medium">
        <color rgb="FF993366"/>
      </left>
      <right style="medium">
        <color rgb="FF993366"/>
      </right>
      <top style="medium">
        <color rgb="FF993366"/>
      </top>
      <bottom style="medium">
        <color rgb="FF993366"/>
      </bottom>
      <diagonal/>
    </border>
    <border>
      <left style="medium">
        <color rgb="FF993366"/>
      </left>
      <right style="medium">
        <color rgb="FF993366"/>
      </right>
      <top/>
      <bottom style="medium">
        <color rgb="FF993366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3" fillId="3" borderId="0" xfId="0" applyFont="1" applyFill="1" applyAlignment="1">
      <alignment horizontal="left" vertical="top" wrapText="1"/>
    </xf>
    <xf numFmtId="7" fontId="3" fillId="3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7" fontId="3" fillId="0" borderId="0" xfId="0" applyNumberFormat="1" applyFont="1" applyAlignment="1">
      <alignment horizontal="right" vertical="top" wrapText="1"/>
    </xf>
    <xf numFmtId="7" fontId="5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0" fillId="0" borderId="0" xfId="0" applyFont="1"/>
    <xf numFmtId="0" fontId="2" fillId="0" borderId="0" xfId="0" applyFont="1"/>
    <xf numFmtId="0" fontId="9" fillId="0" borderId="0" xfId="0" applyFont="1" applyProtection="1">
      <protection hidden="1"/>
    </xf>
    <xf numFmtId="44" fontId="0" fillId="0" borderId="0" xfId="3" applyFont="1"/>
    <xf numFmtId="164" fontId="0" fillId="0" borderId="0" xfId="0" applyNumberFormat="1"/>
    <xf numFmtId="7" fontId="5" fillId="0" borderId="0" xfId="2" applyNumberFormat="1" applyFont="1" applyAlignment="1">
      <alignment horizontal="right" vertical="top" wrapText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5" fillId="4" borderId="0" xfId="0" applyFont="1" applyFill="1" applyAlignment="1">
      <alignment vertical="center" wrapText="1"/>
    </xf>
    <xf numFmtId="166" fontId="0" fillId="0" borderId="0" xfId="0" applyNumberFormat="1"/>
    <xf numFmtId="166" fontId="15" fillId="4" borderId="0" xfId="0" applyNumberFormat="1" applyFont="1" applyFill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8" fillId="0" borderId="0" xfId="0" applyFont="1"/>
    <xf numFmtId="0" fontId="5" fillId="0" borderId="0" xfId="0" applyFont="1" applyAlignment="1">
      <alignment horizontal="left" vertical="top" wrapText="1"/>
    </xf>
    <xf numFmtId="166" fontId="18" fillId="0" borderId="0" xfId="0" applyNumberFormat="1" applyFont="1"/>
    <xf numFmtId="0" fontId="19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6" fontId="19" fillId="0" borderId="0" xfId="0" applyNumberFormat="1" applyFont="1" applyAlignment="1">
      <alignment vertical="center" wrapText="1"/>
    </xf>
    <xf numFmtId="166" fontId="19" fillId="0" borderId="0" xfId="0" applyNumberFormat="1" applyFont="1" applyAlignment="1">
      <alignment vertical="center"/>
    </xf>
    <xf numFmtId="166" fontId="18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15" fillId="0" borderId="0" xfId="0" applyFont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6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7" xfId="0" applyBorder="1" applyProtection="1">
      <protection hidden="1"/>
    </xf>
    <xf numFmtId="0" fontId="0" fillId="0" borderId="9" xfId="0" applyBorder="1"/>
    <xf numFmtId="0" fontId="23" fillId="5" borderId="0" xfId="0" applyFont="1" applyFill="1"/>
    <xf numFmtId="0" fontId="24" fillId="5" borderId="0" xfId="0" applyFont="1" applyFill="1" applyProtection="1">
      <protection hidden="1"/>
    </xf>
    <xf numFmtId="0" fontId="25" fillId="6" borderId="0" xfId="0" applyFont="1" applyFill="1" applyProtection="1">
      <protection hidden="1"/>
    </xf>
    <xf numFmtId="0" fontId="0" fillId="7" borderId="0" xfId="0" applyFill="1" applyProtection="1">
      <protection locked="0"/>
    </xf>
    <xf numFmtId="0" fontId="0" fillId="7" borderId="0" xfId="0" applyFill="1" applyProtection="1">
      <protection locked="0" hidden="1"/>
    </xf>
    <xf numFmtId="0" fontId="0" fillId="7" borderId="0" xfId="0" applyFill="1" applyAlignment="1" applyProtection="1">
      <alignment horizontal="left"/>
      <protection locked="0" hidden="1"/>
    </xf>
    <xf numFmtId="0" fontId="0" fillId="7" borderId="0" xfId="0" applyFill="1" applyAlignment="1" applyProtection="1">
      <alignment horizontal="left"/>
      <protection hidden="1"/>
    </xf>
    <xf numFmtId="0" fontId="0" fillId="6" borderId="0" xfId="0" applyFill="1" applyProtection="1">
      <protection hidden="1"/>
    </xf>
    <xf numFmtId="0" fontId="8" fillId="6" borderId="0" xfId="0" applyFont="1" applyFill="1" applyProtection="1">
      <protection locked="0" hidden="1"/>
    </xf>
    <xf numFmtId="0" fontId="8" fillId="6" borderId="0" xfId="0" applyFont="1" applyFill="1" applyProtection="1">
      <protection hidden="1"/>
    </xf>
    <xf numFmtId="0" fontId="0" fillId="6" borderId="0" xfId="0" applyFill="1" applyProtection="1">
      <protection locked="0" hidden="1"/>
    </xf>
    <xf numFmtId="0" fontId="0" fillId="6" borderId="0" xfId="0" applyFill="1"/>
    <xf numFmtId="0" fontId="2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0" fillId="7" borderId="0" xfId="0" applyFill="1"/>
    <xf numFmtId="0" fontId="2" fillId="7" borderId="8" xfId="0" applyFont="1" applyFill="1" applyBorder="1" applyAlignment="1" applyProtection="1">
      <alignment horizontal="right"/>
      <protection hidden="1"/>
    </xf>
    <xf numFmtId="0" fontId="0" fillId="7" borderId="10" xfId="0" applyFill="1" applyBorder="1" applyAlignment="1" applyProtection="1">
      <alignment horizontal="right"/>
      <protection locked="0" hidden="1"/>
    </xf>
    <xf numFmtId="0" fontId="0" fillId="7" borderId="0" xfId="0" applyFill="1" applyAlignment="1">
      <alignment vertical="top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0" xfId="0" applyFont="1" applyAlignment="1">
      <alignment horizontal="left" vertical="center" indent="2"/>
    </xf>
    <xf numFmtId="0" fontId="0" fillId="8" borderId="2" xfId="0" applyFill="1" applyBorder="1" applyProtection="1">
      <protection locked="0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24" fillId="5" borderId="0" xfId="0" applyFont="1" applyFill="1"/>
    <xf numFmtId="0" fontId="11" fillId="0" borderId="0" xfId="0" applyFont="1"/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24" fillId="5" borderId="0" xfId="0" applyFont="1" applyFill="1" applyAlignment="1">
      <alignment horizontal="center"/>
    </xf>
    <xf numFmtId="0" fontId="0" fillId="7" borderId="0" xfId="0" applyFill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center"/>
      <protection hidden="1"/>
    </xf>
    <xf numFmtId="0" fontId="11" fillId="0" borderId="12" xfId="0" applyFon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25" fillId="8" borderId="0" xfId="0" applyFont="1" applyFill="1" applyProtection="1">
      <protection hidden="1"/>
    </xf>
  </cellXfs>
  <cellStyles count="4">
    <cellStyle name="Standaard" xfId="0" builtinId="0"/>
    <cellStyle name="Standaard 2" xfId="1" xr:uid="{AA457310-820E-4EE3-83AF-4C057606DDF0}"/>
    <cellStyle name="Standaard 3" xfId="2" xr:uid="{D1F2871F-777E-423C-BC7F-79A8E8A0313B}"/>
    <cellStyle name="Valuta" xfId="3" builtinId="4"/>
  </cellStyles>
  <dxfs count="6">
    <dxf>
      <fill>
        <patternFill>
          <bgColor rgb="FFFF3300"/>
        </patternFill>
      </fill>
    </dxf>
    <dxf>
      <fill>
        <patternFill>
          <bgColor rgb="FF99A297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A297"/>
      <color rgb="FFFF3300"/>
      <color rgb="FFFEFCF4"/>
      <color rgb="FF1B1B1A"/>
      <color rgb="FFECECE9"/>
      <color rgb="FFD0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3369469</xdr:colOff>
      <xdr:row>0</xdr:row>
      <xdr:rowOff>238126</xdr:rowOff>
    </xdr:from>
    <xdr:to>
      <xdr:col>7</xdr:col>
      <xdr:colOff>36512</xdr:colOff>
      <xdr:row>2</xdr:row>
      <xdr:rowOff>175039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E5ED64-30E6-420E-B6F8-D8F0934D8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0278" r="12153" b="40625"/>
        <a:stretch>
          <a:fillRect/>
        </a:stretch>
      </xdr:blipFill>
      <xdr:spPr>
        <a:xfrm>
          <a:off x="18490407" y="238126"/>
          <a:ext cx="1536699" cy="389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0</xdr:rowOff>
    </xdr:from>
    <xdr:to>
      <xdr:col>7</xdr:col>
      <xdr:colOff>302504</xdr:colOff>
      <xdr:row>7</xdr:row>
      <xdr:rowOff>148500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F644BFC-A2D1-4793-AECB-0EBCDBF08F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2239177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1</xdr:col>
      <xdr:colOff>19248</xdr:colOff>
      <xdr:row>11</xdr:row>
      <xdr:rowOff>2</xdr:rowOff>
    </xdr:from>
    <xdr:to>
      <xdr:col>7</xdr:col>
      <xdr:colOff>292299</xdr:colOff>
      <xdr:row>15</xdr:row>
      <xdr:rowOff>35283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A8673AB1-9E83-488D-97EC-6454E088B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2195533" y="528817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1</xdr:col>
      <xdr:colOff>16077</xdr:colOff>
      <xdr:row>18</xdr:row>
      <xdr:rowOff>76193</xdr:rowOff>
    </xdr:from>
    <xdr:to>
      <xdr:col>7</xdr:col>
      <xdr:colOff>273250</xdr:colOff>
      <xdr:row>22</xdr:row>
      <xdr:rowOff>188772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4C7A3A43-F8E4-4484-A67A-DB23C35D7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5" t="17211" r="39292" b="16563"/>
        <a:stretch>
          <a:fillRect/>
        </a:stretch>
      </xdr:blipFill>
      <xdr:spPr>
        <a:xfrm rot="16200000">
          <a:off x="2145774" y="1985096"/>
          <a:ext cx="874579" cy="3914773"/>
        </a:xfrm>
        <a:prstGeom prst="rect">
          <a:avLst/>
        </a:prstGeom>
      </xdr:spPr>
    </xdr:pic>
    <xdr:clientData/>
  </xdr:twoCellAnchor>
  <xdr:twoCellAnchor editAs="oneCell">
    <xdr:from>
      <xdr:col>1</xdr:col>
      <xdr:colOff>25607</xdr:colOff>
      <xdr:row>26</xdr:row>
      <xdr:rowOff>57150</xdr:rowOff>
    </xdr:from>
    <xdr:to>
      <xdr:col>7</xdr:col>
      <xdr:colOff>263729</xdr:colOff>
      <xdr:row>31</xdr:row>
      <xdr:rowOff>5463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7A8A950A-1A5C-47F1-BE5D-E9D9101A5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0" t="16204" r="38545" b="16764"/>
        <a:stretch>
          <a:fillRect/>
        </a:stretch>
      </xdr:blipFill>
      <xdr:spPr>
        <a:xfrm rot="16200000">
          <a:off x="2132661" y="3512696"/>
          <a:ext cx="900813" cy="389572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0</xdr:rowOff>
    </xdr:from>
    <xdr:to>
      <xdr:col>15</xdr:col>
      <xdr:colOff>301626</xdr:colOff>
      <xdr:row>8</xdr:row>
      <xdr:rowOff>35281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CC09B51-EDFB-4CB1-A53F-34B5FF0B5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7081660" y="-804685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111127</xdr:colOff>
      <xdr:row>28</xdr:row>
      <xdr:rowOff>47623</xdr:rowOff>
    </xdr:from>
    <xdr:to>
      <xdr:col>12</xdr:col>
      <xdr:colOff>492127</xdr:colOff>
      <xdr:row>40</xdr:row>
      <xdr:rowOff>154157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D947696-37E4-4731-99BE-8B6F441DA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26" t="23201" r="16328" b="23485"/>
        <a:stretch>
          <a:fillRect/>
        </a:stretch>
      </xdr:blipFill>
      <xdr:spPr>
        <a:xfrm>
          <a:off x="5597527" y="5381623"/>
          <a:ext cx="2209800" cy="2392534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</xdr:colOff>
      <xdr:row>11</xdr:row>
      <xdr:rowOff>9527</xdr:rowOff>
    </xdr:from>
    <xdr:to>
      <xdr:col>15</xdr:col>
      <xdr:colOff>339726</xdr:colOff>
      <xdr:row>15</xdr:row>
      <xdr:rowOff>186430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268C7EC-85A7-4196-98FB-C8A6E8659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5" t="16152" r="34187" b="16708"/>
        <a:stretch>
          <a:fillRect/>
        </a:stretch>
      </xdr:blipFill>
      <xdr:spPr>
        <a:xfrm rot="5400000">
          <a:off x="7033074" y="593278"/>
          <a:ext cx="938903" cy="3962401"/>
        </a:xfrm>
        <a:prstGeom prst="rect">
          <a:avLst/>
        </a:prstGeom>
      </xdr:spPr>
    </xdr:pic>
    <xdr:clientData/>
  </xdr:twoCellAnchor>
  <xdr:twoCellAnchor editAs="oneCell">
    <xdr:from>
      <xdr:col>16</xdr:col>
      <xdr:colOff>390525</xdr:colOff>
      <xdr:row>4</xdr:row>
      <xdr:rowOff>0</xdr:rowOff>
    </xdr:from>
    <xdr:to>
      <xdr:col>18</xdr:col>
      <xdr:colOff>447674</xdr:colOff>
      <xdr:row>12</xdr:row>
      <xdr:rowOff>174001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ECB30245-71F1-486F-A8C9-58D4C6B975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7" t="2504" r="4114" b="4242"/>
        <a:stretch>
          <a:fillRect/>
        </a:stretch>
      </xdr:blipFill>
      <xdr:spPr>
        <a:xfrm>
          <a:off x="10144125" y="762000"/>
          <a:ext cx="1276349" cy="1698001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47626</xdr:colOff>
      <xdr:row>14</xdr:row>
      <xdr:rowOff>171452</xdr:rowOff>
    </xdr:from>
    <xdr:to>
      <xdr:col>19</xdr:col>
      <xdr:colOff>143511</xdr:colOff>
      <xdr:row>24</xdr:row>
      <xdr:rowOff>19051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9D197014-1493-4A48-9958-83060B6AD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" t="573" r="1530" b="859"/>
        <a:stretch>
          <a:fillRect/>
        </a:stretch>
      </xdr:blipFill>
      <xdr:spPr>
        <a:xfrm>
          <a:off x="10410826" y="2838452"/>
          <a:ext cx="1315085" cy="1752599"/>
        </a:xfrm>
        <a:prstGeom prst="rect">
          <a:avLst/>
        </a:prstGeom>
      </xdr:spPr>
    </xdr:pic>
    <xdr:clientData/>
  </xdr:twoCellAnchor>
  <xdr:twoCellAnchor editAs="oneCell">
    <xdr:from>
      <xdr:col>21</xdr:col>
      <xdr:colOff>37291</xdr:colOff>
      <xdr:row>4</xdr:row>
      <xdr:rowOff>0</xdr:rowOff>
    </xdr:from>
    <xdr:to>
      <xdr:col>27</xdr:col>
      <xdr:colOff>320745</xdr:colOff>
      <xdr:row>7</xdr:row>
      <xdr:rowOff>148500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84C974D5-E908-4AFF-A209-D946B8D755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14449418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21</xdr:col>
      <xdr:colOff>35880</xdr:colOff>
      <xdr:row>10</xdr:row>
      <xdr:rowOff>9524</xdr:rowOff>
    </xdr:from>
    <xdr:to>
      <xdr:col>27</xdr:col>
      <xdr:colOff>339116</xdr:colOff>
      <xdr:row>13</xdr:row>
      <xdr:rowOff>63162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862D9BA-8DE2-49DC-B559-39DA4B8B1A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00" t="6670" r="40163" b="16531"/>
        <a:stretch>
          <a:fillRect/>
        </a:stretch>
      </xdr:blipFill>
      <xdr:spPr>
        <a:xfrm rot="16200000">
          <a:off x="14505329" y="246675"/>
          <a:ext cx="625138" cy="3960836"/>
        </a:xfrm>
        <a:prstGeom prst="rect">
          <a:avLst/>
        </a:prstGeom>
      </xdr:spPr>
    </xdr:pic>
    <xdr:clientData/>
  </xdr:twoCellAnchor>
  <xdr:twoCellAnchor editAs="oneCell">
    <xdr:from>
      <xdr:col>21</xdr:col>
      <xdr:colOff>24791</xdr:colOff>
      <xdr:row>16</xdr:row>
      <xdr:rowOff>46860</xdr:rowOff>
    </xdr:from>
    <xdr:to>
      <xdr:col>27</xdr:col>
      <xdr:colOff>405791</xdr:colOff>
      <xdr:row>18</xdr:row>
      <xdr:rowOff>76199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9BD3645E-7F67-48B9-BE21-2DB796D65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9041" r="3676" b="43298"/>
        <a:stretch>
          <a:fillRect/>
        </a:stretch>
      </xdr:blipFill>
      <xdr:spPr>
        <a:xfrm>
          <a:off x="12826391" y="3094860"/>
          <a:ext cx="4038600" cy="410339"/>
        </a:xfrm>
        <a:prstGeom prst="rect">
          <a:avLst/>
        </a:prstGeom>
      </xdr:spPr>
    </xdr:pic>
    <xdr:clientData/>
  </xdr:twoCellAnchor>
  <xdr:twoCellAnchor editAs="oneCell">
    <xdr:from>
      <xdr:col>21</xdr:col>
      <xdr:colOff>24791</xdr:colOff>
      <xdr:row>22</xdr:row>
      <xdr:rowOff>38100</xdr:rowOff>
    </xdr:from>
    <xdr:to>
      <xdr:col>27</xdr:col>
      <xdr:colOff>377217</xdr:colOff>
      <xdr:row>24</xdr:row>
      <xdr:rowOff>66727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5493837-39C0-4A29-9E35-57FECDE06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0" t="39274" r="4044" b="43065"/>
        <a:stretch>
          <a:fillRect/>
        </a:stretch>
      </xdr:blipFill>
      <xdr:spPr>
        <a:xfrm>
          <a:off x="12826391" y="4229100"/>
          <a:ext cx="4010026" cy="40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24790</xdr:colOff>
      <xdr:row>27</xdr:row>
      <xdr:rowOff>38100</xdr:rowOff>
    </xdr:from>
    <xdr:to>
      <xdr:col>27</xdr:col>
      <xdr:colOff>424841</xdr:colOff>
      <xdr:row>31</xdr:row>
      <xdr:rowOff>24667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49C8700E-1EEC-4450-893B-478EB246B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" t="31605" r="23897" b="43529"/>
        <a:stretch>
          <a:fillRect/>
        </a:stretch>
      </xdr:blipFill>
      <xdr:spPr>
        <a:xfrm>
          <a:off x="12826390" y="5181600"/>
          <a:ext cx="4057651" cy="748567"/>
        </a:xfrm>
        <a:prstGeom prst="rect">
          <a:avLst/>
        </a:prstGeom>
      </xdr:spPr>
    </xdr:pic>
    <xdr:clientData/>
  </xdr:twoCellAnchor>
  <xdr:twoCellAnchor editAs="oneCell">
    <xdr:from>
      <xdr:col>20</xdr:col>
      <xdr:colOff>561975</xdr:colOff>
      <xdr:row>34</xdr:row>
      <xdr:rowOff>43840</xdr:rowOff>
    </xdr:from>
    <xdr:to>
      <xdr:col>25</xdr:col>
      <xdr:colOff>228600</xdr:colOff>
      <xdr:row>48</xdr:row>
      <xdr:rowOff>3785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E77EEAE2-C315-42BF-89FC-0E3ED96CC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7" t="16097" r="7558" b="16317"/>
        <a:stretch>
          <a:fillRect/>
        </a:stretch>
      </xdr:blipFill>
      <xdr:spPr>
        <a:xfrm rot="5400000">
          <a:off x="12797815" y="6477000"/>
          <a:ext cx="262694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168-48BE-4ECB-A39C-A3D3AB8A8555}">
  <sheetPr codeName="Blad1"/>
  <dimension ref="B1:J47"/>
  <sheetViews>
    <sheetView showGridLines="0" tabSelected="1" zoomScale="80" zoomScaleNormal="80" workbookViewId="0">
      <selection activeCell="E1" sqref="E1"/>
    </sheetView>
  </sheetViews>
  <sheetFormatPr defaultRowHeight="15" x14ac:dyDescent="0.25"/>
  <cols>
    <col min="2" max="2" width="56.28515625" bestFit="1" customWidth="1"/>
    <col min="3" max="3" width="46.140625" customWidth="1"/>
    <col min="4" max="4" width="29.85546875" customWidth="1"/>
    <col min="5" max="5" width="85.5703125" customWidth="1"/>
    <col min="6" max="6" width="50.7109375" customWidth="1"/>
    <col min="7" max="7" width="22.28515625" customWidth="1"/>
    <col min="8" max="8" width="13.85546875" customWidth="1"/>
    <col min="9" max="9" width="11.140625" customWidth="1"/>
    <col min="10" max="10" width="9.42578125" bestFit="1" customWidth="1"/>
  </cols>
  <sheetData>
    <row r="1" spans="2:7" ht="21" x14ac:dyDescent="0.35">
      <c r="B1" s="8"/>
      <c r="C1" s="8"/>
      <c r="D1" s="8"/>
      <c r="E1" s="56" t="s">
        <v>521</v>
      </c>
    </row>
    <row r="2" spans="2:7" x14ac:dyDescent="0.25">
      <c r="B2" s="74"/>
      <c r="C2" s="8"/>
      <c r="D2" s="8"/>
    </row>
    <row r="3" spans="2:7" x14ac:dyDescent="0.25">
      <c r="B3" s="74"/>
      <c r="C3" s="8"/>
      <c r="D3" s="8"/>
    </row>
    <row r="4" spans="2:7" x14ac:dyDescent="0.25">
      <c r="B4" s="74"/>
      <c r="C4" s="8"/>
      <c r="D4" s="8"/>
      <c r="E4" s="58" t="s">
        <v>669</v>
      </c>
      <c r="F4" s="74"/>
    </row>
    <row r="5" spans="2:7" x14ac:dyDescent="0.25">
      <c r="B5" s="75"/>
      <c r="C5" s="8"/>
      <c r="D5" s="8"/>
      <c r="E5" s="59" t="s">
        <v>520</v>
      </c>
      <c r="F5" s="74"/>
    </row>
    <row r="6" spans="2:7" x14ac:dyDescent="0.25">
      <c r="B6" s="74"/>
      <c r="C6" s="8"/>
      <c r="D6" s="8"/>
      <c r="E6" s="58" t="s">
        <v>522</v>
      </c>
      <c r="F6" s="74"/>
      <c r="G6" s="57" t="s">
        <v>527</v>
      </c>
    </row>
    <row r="7" spans="2:7" x14ac:dyDescent="0.25">
      <c r="B7" s="74"/>
      <c r="C7" s="8"/>
      <c r="D7" s="8"/>
      <c r="E7" s="60" t="s">
        <v>520</v>
      </c>
      <c r="F7" s="74"/>
      <c r="G7" s="60">
        <v>1</v>
      </c>
    </row>
    <row r="8" spans="2:7" x14ac:dyDescent="0.25">
      <c r="B8" s="74"/>
      <c r="C8" s="8"/>
      <c r="D8" s="8"/>
      <c r="E8" s="58" t="s">
        <v>591</v>
      </c>
      <c r="F8" s="74"/>
    </row>
    <row r="9" spans="2:7" x14ac:dyDescent="0.25">
      <c r="B9" s="76"/>
      <c r="C9" s="8"/>
      <c r="D9" s="8"/>
      <c r="E9" s="60" t="s">
        <v>520</v>
      </c>
      <c r="F9" s="74"/>
    </row>
    <row r="10" spans="2:7" x14ac:dyDescent="0.25">
      <c r="B10" s="74"/>
      <c r="C10" s="8"/>
      <c r="D10" s="8"/>
      <c r="E10" s="58" t="s">
        <v>523</v>
      </c>
      <c r="F10" s="74"/>
      <c r="G10" s="14"/>
    </row>
    <row r="11" spans="2:7" x14ac:dyDescent="0.25">
      <c r="B11" s="74" t="str">
        <f>IF(AND(E17&gt;2315,E23=75,E9="Wood",OR(E7="Single (&lt;2315) X5",E7="Double X5D")),OPMERKINGEN!B7,"")</f>
        <v/>
      </c>
      <c r="C11" s="8"/>
      <c r="D11" s="8"/>
      <c r="E11" s="60" t="s">
        <v>520</v>
      </c>
      <c r="F11" s="74"/>
    </row>
    <row r="12" spans="2:7" x14ac:dyDescent="0.25">
      <c r="B12" s="74" t="str">
        <f>IF(AND(E7="Single (&lt;2315) X5",E17&gt;2315,E13="Pocket"),OPMERKINGEN!B2,IF(AND(E7="Double X5D",E17&gt;3015,E13="Pocket"),OPMERKINGEN!B3,IF(AND(E7="Single (&lt;2315) X5",E17&gt;2415,E13="Wall"),OPMERKINGEN!B4,"")))</f>
        <v/>
      </c>
      <c r="C12" s="8"/>
      <c r="D12" s="8"/>
      <c r="E12" s="58" t="s">
        <v>664</v>
      </c>
      <c r="F12" s="74"/>
    </row>
    <row r="13" spans="2:7" x14ac:dyDescent="0.25">
      <c r="B13" s="74" t="str">
        <f>IF(E19&gt;1230,OPMERKINGEN!B6,"")</f>
        <v/>
      </c>
      <c r="C13" s="8"/>
      <c r="D13" s="8"/>
      <c r="E13" s="60" t="s">
        <v>520</v>
      </c>
      <c r="F13" s="74"/>
    </row>
    <row r="14" spans="2:7" x14ac:dyDescent="0.25">
      <c r="B14" s="74" t="str">
        <f>IF(AND(E5="Xinnix (2x soft close)",E15="XINNIX"),OPMERKINGEN!B36,"")</f>
        <v/>
      </c>
      <c r="C14" s="8"/>
      <c r="D14" s="8"/>
      <c r="E14" s="58" t="s">
        <v>524</v>
      </c>
      <c r="F14" s="74"/>
    </row>
    <row r="15" spans="2:7" x14ac:dyDescent="0.25">
      <c r="B15" s="74" t="str">
        <f>IF(AND(E9="Glass",E23="50",E19&gt;1030),OPMERKINGEN!B9,IF(AND(E9="Wood",E23="50"),OPMERKINGEN!B9,""))</f>
        <v/>
      </c>
      <c r="C15" s="8"/>
      <c r="D15" s="8"/>
      <c r="E15" s="60" t="s">
        <v>520</v>
      </c>
      <c r="F15" s="74"/>
    </row>
    <row r="16" spans="2:7" x14ac:dyDescent="0.25">
      <c r="B16" s="74" t="str">
        <f>IF(AND(E5="Xinnix (2x soft close)",E23=50),OPMERKINGEN!B34,"")</f>
        <v/>
      </c>
      <c r="C16" s="8"/>
      <c r="D16" s="8"/>
      <c r="E16" s="58" t="s">
        <v>667</v>
      </c>
      <c r="F16" s="74"/>
    </row>
    <row r="17" spans="2:9" x14ac:dyDescent="0.25">
      <c r="B17" s="74" t="str">
        <f>IF(E23=50,OPMERKINGEN!B28,"")</f>
        <v/>
      </c>
      <c r="C17" s="8"/>
      <c r="D17" s="19"/>
      <c r="E17" s="61"/>
      <c r="F17" s="75" t="str">
        <f>IF(E17="","",IF(E17&lt;1000,"&gt;1000 mm",""))</f>
        <v/>
      </c>
    </row>
    <row r="18" spans="2:9" x14ac:dyDescent="0.25">
      <c r="B18" s="74" t="str">
        <f>IF(AND(E7="Single (&lt;2315) X5",E23="75",E17&gt;2315),OPMERKINGEN!B12,IF(AND(E7="Single (&lt;2315) X5",E23="75",E17&gt;2315,E15="XINNIX"),OPMERKINGEN!B13,IF(AND(E7="Double X5D",E23="75",E17&gt;3015,E15="XINNIX",AND(E7="Double",E23="100",E17&gt;3015,E15="XINNIX",AND(OR(E7="Double X5D32",E7="Double X5D50"),E23="75",E17&gt;3015,E15="XINNIX"))),OPMERKINGEN!B14,IF(AND(E7="Single (&lt;2315) X5",E23="100",E17&gt;3015,E15="PURE",AND(E7="Double X5D",E23="75",E17&gt;3015,E15="PURE",AND(E7="Double X5D",E23="100",E17&gt;3015,E15="PURE"))),OPMERKINGEN!B15,IF(AND(E7="Single (&lt;2315) X5",E23="75",E17&gt;2315,E9="Glass",AND(E7="Double X5D",E23="50",E17&gt;2315,E9="Glass")),OPMERKINGEN!B16,IF(AND(OR(E7="Double X5D32",E7="Double X5D50"),E23="50",E17&gt;2715,E9="Glass"),OPMERKINGEN!B17,""))))))</f>
        <v/>
      </c>
      <c r="C18" s="8"/>
      <c r="D18" s="8"/>
      <c r="E18" s="58" t="s">
        <v>668</v>
      </c>
      <c r="F18" s="74"/>
    </row>
    <row r="19" spans="2:9" x14ac:dyDescent="0.25">
      <c r="B19" s="74" t="str">
        <f>IF(AND(E23=50,E9="Wood"),OPMERKINGEN!B18,"")</f>
        <v/>
      </c>
      <c r="C19" s="8"/>
      <c r="D19" s="8"/>
      <c r="E19" s="61"/>
      <c r="F19" s="75" t="str">
        <f>IF(E19="","",IF(AND(E5="Xinnix (1x soft close)",E19&lt;550),"Door ≥ 550 mm!",IF(AND(E5="Xinnix (2x soft close)",E19&lt;660),"Door ≥ 660 mm!","")))</f>
        <v/>
      </c>
    </row>
    <row r="20" spans="2:9" x14ac:dyDescent="0.25">
      <c r="B20" s="74"/>
      <c r="C20" s="8"/>
      <c r="D20" s="8"/>
      <c r="E20" s="58" t="s">
        <v>525</v>
      </c>
      <c r="F20" s="74"/>
    </row>
    <row r="21" spans="2:9" x14ac:dyDescent="0.25">
      <c r="B21" s="74" t="str">
        <f>IF(AND(E19&gt;1030,E7="Single (&lt;2315) X5"),OPMERKINGEN!B29,"")</f>
        <v/>
      </c>
      <c r="C21" s="8"/>
      <c r="D21" s="8"/>
      <c r="E21" s="61" t="s">
        <v>520</v>
      </c>
      <c r="F21" s="74" t="str">
        <f>IF(AND(E23=75,E21&gt;40,E9="Wood"),OPMERKINGEN!B25,"")</f>
        <v/>
      </c>
      <c r="G21" s="87" t="s">
        <v>603</v>
      </c>
      <c r="H21" s="87"/>
      <c r="I21" s="87"/>
    </row>
    <row r="22" spans="2:9" x14ac:dyDescent="0.25">
      <c r="B22" s="74" t="str">
        <f>IF(AND(E9="Glass",OR(E21=35,E21=40,E21=43,E21=45,E21=50,E21=55,E21=60)),OPMERKINGEN!B23,"")</f>
        <v/>
      </c>
      <c r="C22" s="8"/>
      <c r="D22" s="8"/>
      <c r="E22" s="58" t="s">
        <v>0</v>
      </c>
      <c r="F22" s="74"/>
      <c r="G22" s="88"/>
      <c r="H22" s="88"/>
      <c r="I22" s="88"/>
    </row>
    <row r="23" spans="2:9" x14ac:dyDescent="0.25">
      <c r="B23" s="74" t="str">
        <f>IF(E17&gt;3515,OPMERKINGEN!B20,"")</f>
        <v/>
      </c>
      <c r="C23" s="8"/>
      <c r="D23" s="8"/>
      <c r="E23" s="61" t="s">
        <v>520</v>
      </c>
      <c r="F23" s="74"/>
    </row>
    <row r="24" spans="2:9" x14ac:dyDescent="0.25">
      <c r="B24" s="74" t="str">
        <f>IF(E19&gt;3030,OPMERKINGEN!B21,"")</f>
        <v/>
      </c>
      <c r="C24" s="8"/>
      <c r="D24" s="8"/>
      <c r="E24" s="95" t="s">
        <v>526</v>
      </c>
      <c r="F24" s="74"/>
    </row>
    <row r="25" spans="2:9" x14ac:dyDescent="0.25">
      <c r="B25" s="74" t="str">
        <f>IF(AND(E9="Glass",E23=50,E7="Single (&lt;2315) X5"),OPMERKINGEN!B24,"")</f>
        <v/>
      </c>
      <c r="C25" s="8"/>
      <c r="D25" s="8"/>
      <c r="E25" s="62" t="str">
        <f>IF(E13="Wall",IF(E7="Single (&lt;2315) X5",E23+12.5,IF(E7="Double X5D",E23+25,IF(E7="Double X5D32",E23+30.5,IF(E7="Double X5D50",E23+50,"")))),IF(E7="Single (&lt;2315) X5",E23+25,IF(E7="Double X5D",E23+50,IF(E7="Double X5D32",E23+64,IF(E7="Double X5D50",E23+100,"")))))</f>
        <v/>
      </c>
      <c r="F25" s="74"/>
      <c r="G25" s="87" t="s">
        <v>601</v>
      </c>
      <c r="H25" s="87"/>
      <c r="I25" s="87"/>
    </row>
    <row r="26" spans="2:9" x14ac:dyDescent="0.25">
      <c r="B26" s="74" t="str">
        <f>IF(AND(E11="Single",E27="Symmetric"),"A symmetric system is only possible with a double door.",IF(AND(E15="PURE",E27="Symmetric"),"A symmetric system is only possible with a Xinnix finish.",IF(AND(E7="Single (&lt;2315) X5",E27="Symmetric"),"A symmetric system is only possible with double plating","")))</f>
        <v/>
      </c>
      <c r="C26" s="8"/>
      <c r="D26" s="8"/>
      <c r="E26" s="58" t="s">
        <v>867</v>
      </c>
      <c r="F26" s="74"/>
      <c r="G26" s="88"/>
      <c r="H26" s="88"/>
      <c r="I26" s="88"/>
    </row>
    <row r="27" spans="2:9" x14ac:dyDescent="0.25">
      <c r="B27" s="74"/>
      <c r="C27" s="8"/>
      <c r="D27" s="8"/>
      <c r="E27" s="59" t="s">
        <v>582</v>
      </c>
      <c r="F27" s="74"/>
      <c r="G27" s="88"/>
      <c r="H27" s="88"/>
      <c r="I27" s="88"/>
    </row>
    <row r="28" spans="2:9" x14ac:dyDescent="0.25">
      <c r="B28" s="15"/>
      <c r="C28" s="8"/>
      <c r="D28" s="8"/>
    </row>
    <row r="29" spans="2:9" x14ac:dyDescent="0.25">
      <c r="B29" s="15"/>
      <c r="C29" s="8"/>
      <c r="D29" s="8"/>
      <c r="E29" s="8"/>
      <c r="F29" s="8"/>
      <c r="G29" s="8"/>
      <c r="H29" s="8"/>
    </row>
    <row r="30" spans="2:9" x14ac:dyDescent="0.25">
      <c r="B30" s="57" t="s">
        <v>528</v>
      </c>
      <c r="C30" s="57" t="s">
        <v>529</v>
      </c>
      <c r="D30" s="57"/>
      <c r="E30" s="57" t="s">
        <v>530</v>
      </c>
      <c r="F30" s="57" t="s">
        <v>531</v>
      </c>
      <c r="G30" s="57" t="s">
        <v>532</v>
      </c>
      <c r="H30" s="44"/>
      <c r="I30" s="45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68" t="s">
        <v>534</v>
      </c>
      <c r="C32" s="68" t="str">
        <f>IF(E17="","",IF(E17&gt;=3515,"",CONCATENATE(IF(E7="Single (&lt;2315) X5","X5",IF(E7="Double X5D","X5D",IF(E7="Double X5D32","X5D32",IF(E7="Double X5D50","X5D50","")))),"-",IF(E13="Wall","WALL",""),IF(E13="Wall","",IF(E17&lt;=1972,1972,IF(E17&lt;=2015,2015,IF(E17&lt;=2040,2040,IF(E17&lt;=2115,2115,IF(E17&lt;=2315,2315,IF(E17&lt;=2415,2415,IF(E17&lt;=2715,2715,IF(E17&lt;=3015,3015,IF(E17&lt;=3515,3515,"")))))))))),IF(E13="Pocket","",IF(E17&lt;=2115,2115,IF(E17&lt;=2415,2415,IF(E17&lt;=2715,2715,IF(E17&lt;=3015,3015,IF(E17&lt;=3515,3515,"")))))))))</f>
        <v/>
      </c>
      <c r="D32" s="68"/>
      <c r="E32" s="68" t="str">
        <f>IF(C32="","",VLOOKUP(C32,STAANDERS!C2:F61,4,FALSE))</f>
        <v/>
      </c>
      <c r="F32" s="68" t="str">
        <f>IF(C32="","",IF(E11="Single",1,2))</f>
        <v/>
      </c>
      <c r="G32" s="63" t="str">
        <f>IF(F32="","",G7*F32)</f>
        <v/>
      </c>
      <c r="H32" s="10"/>
      <c r="I32" s="10"/>
    </row>
    <row r="33" spans="2:10" x14ac:dyDescent="0.25">
      <c r="B33" s="8" t="s">
        <v>535</v>
      </c>
      <c r="C33" s="8" t="str">
        <f>IF(E19="…","",IF(E19&lt;1231,"",CONCATENATE("X5D/XM",IF(E17&lt;=2115,2115,IF(E17&lt;=2315,2315,IF(E17&lt;=2715,2715,IF(E17&lt;=3015,3015,IF(E17&lt;=3515,3515,))))))))</f>
        <v/>
      </c>
      <c r="D33" s="8"/>
      <c r="E33" s="8" t="str">
        <f>IF(C33="","",VLOOKUP(C33,MIDDENSTAANDERS!B2:F6,3,FALSE))</f>
        <v/>
      </c>
      <c r="F33" s="9" t="str">
        <f>IF(C33="","",IF(AND(E19&lt;=1830,E11="Single"),1, IF(AND(E19&lt;=1830,E11="Double"),2, IF(AND(E19&lt;=2430,E11="Single"),2, IF(AND(E19&lt;=2430,E11="Double"),4, IF(AND(E19&lt;=3030,E11="Single"),3, IF(AND(E19&lt;=3030,E11="Double"),6, "")))))))</f>
        <v/>
      </c>
      <c r="G33" s="8" t="str">
        <f>IF(F33="","",G7*F33)</f>
        <v/>
      </c>
      <c r="H33" s="11"/>
      <c r="I33" s="10"/>
    </row>
    <row r="34" spans="2:10" x14ac:dyDescent="0.25">
      <c r="B34" s="69" t="s">
        <v>536</v>
      </c>
      <c r="C34" s="69" t="str">
        <f>IF(E19="","",CONCATENATE(IF(AND(E9="Glass",E19&gt;1530),"","X5"),IF(AND(E9="Glass",E19&gt;1530),"","-"),IF(E5="Xinnix (2x soft close)","DS-",""),IF(OR(E19=830,E19=930),0,""),IF(E19=830,830,IF(E19=930,930,IF(E19&lt;=1030,1030,IF(E19&lt;=1230,1230,IF(E19&lt;=1530,1530,IF(E19&lt;=2030,2030,IF(AND(E9="Wood",E19&lt;=2430),2430,IF(AND(E9="Wood",E19&lt;=3030),3030,IF(AND(E9="Glass",E19&gt;1530),"On demand, mail sales@xinnix.eu",""))))))))),IF(AND(E9="Glass",E19&gt;1530),"","."),IF(AND(E9="Glass",E19&gt;1530),"",E23),IF(AND(E9="Glass",E19&lt;2031),"GLC","")))</f>
        <v/>
      </c>
      <c r="D34" s="69"/>
      <c r="E34" s="69" t="str">
        <f>IF(OR(C34="",C34="On demand, mail sales@xinnix.eu"),"",VLOOKUP(C34,RAIL!B2:E50,2,FALSE))</f>
        <v/>
      </c>
      <c r="F34" s="68" t="str">
        <f>IF(OR(C34="",C34="On demand, mail sales@xinnix.eu"),"",IF(E11="Single",1,2))</f>
        <v/>
      </c>
      <c r="G34" s="63" t="str">
        <f>IF(F34="","",G7*F34)</f>
        <v/>
      </c>
      <c r="H34" s="11"/>
      <c r="I34" s="10"/>
    </row>
    <row r="35" spans="2:10" x14ac:dyDescent="0.25">
      <c r="B35" s="8"/>
      <c r="C35" s="8"/>
      <c r="D35" s="8"/>
      <c r="E35" s="8"/>
      <c r="F35" s="9"/>
      <c r="G35" s="8"/>
      <c r="H35" s="11"/>
      <c r="I35" s="10"/>
    </row>
    <row r="36" spans="2:10" x14ac:dyDescent="0.25">
      <c r="B36" s="8"/>
      <c r="C36" s="8"/>
      <c r="D36" s="8"/>
      <c r="E36" s="8"/>
      <c r="F36" s="9"/>
      <c r="G36" s="8"/>
      <c r="H36" s="11"/>
      <c r="I36" s="10"/>
    </row>
    <row r="37" spans="2:10" x14ac:dyDescent="0.25">
      <c r="B37" s="69" t="s">
        <v>537</v>
      </c>
      <c r="C37" s="69" t="str">
        <f>IF(E17="","",CONCATENATE(IF(E15="PURE","X5",IF(OR(E7="Single (&lt;2315) X5",AND(E7="Double X5D",E23=50,E9="Glass")),"X5",IF(E7="Double X5D","X5D",IF(E7="Double X5D32","X5D32",IF(E7="Double X5D50","X5D50",""))))),"-",IF(E15="XINNIX","XINNIX","PURE"),IF(AND(E9="Glass",E11="Single"),"GL",""),IF(AND(E11="Single",E17&lt;=2315),"-23.",IF(AND(E11="Single",E17&lt;=2715),"-27.",IF(AND(E11="Single",E17&lt;=3015),"-30.",IF(AND(E11="Single",E17&lt;=3515),"-35.","")))), IF(E11="Double","/D",""),IF(AND(E11="Single",E13="Pocket"), IF(E25&lt;101,100,  IF(E25&lt;115,114, IF(E25&lt;126,125, IF(E25&lt;140,139, IF(E25&lt;151,150, IF(E25&lt;165,164,IF(E25&lt;176,175,IF(E25&lt;201,200,"")))))))),""), IF(AND(E11="Single",E13="Wall",OR(E7="Single (&lt;2315) X5",E7="Double X5D",E7="Double X5D32")), IF(E25&lt;76,100, IF(E25&lt;81,114, IF(E25&lt;88,100, IF(E25&lt;101,125, IF(E25&lt;106,139, IF(E25&lt;113,125, IF(E25&lt;126,150, IF(E25&lt;131,164,IF(E25&lt;137,175, IF(E25&lt;162,200,"")))))))))), ""),IF(AND(E11="Single",E13="Wall",E7="Double X5D50"),IF(E25&lt;101,150,IF(E25&lt;126,175,IF(E25&lt;151,200,""))),""),IF(AND(E11="Double",E19&lt;=2400,E15="XINNIX"),".1",IF(AND(E11="Double",E19&lt;=4000,E15="XINNIX"),".2","")), IF(AND(E11="Single",E19&lt;=1230,E15="XINNIX"),"/1",IF(AND(E11="Single",E19&lt;=2030,E15="XINNIX"),"/2",IF(AND(E11="Single",E19&lt;=3030,E15="XINNIX"),"/3","")))))</f>
        <v/>
      </c>
      <c r="D37" s="69"/>
      <c r="E37" s="69" t="str">
        <f>IF(C37="","",VLOOKUP(C37,AFWERKING!B1:D274,2,FALSE))</f>
        <v/>
      </c>
      <c r="F37" s="68" t="str">
        <f>IF(C37="","",1)</f>
        <v/>
      </c>
      <c r="G37" s="63" t="str">
        <f>IF(F37="","",G7*F37)</f>
        <v/>
      </c>
      <c r="H37" s="11"/>
      <c r="I37" s="10"/>
    </row>
    <row r="38" spans="2:10" x14ac:dyDescent="0.25">
      <c r="B38" s="8"/>
      <c r="C38" s="8"/>
      <c r="D38" s="8"/>
      <c r="E38" s="8"/>
      <c r="F38" s="9"/>
      <c r="G38" s="8"/>
      <c r="H38" s="11"/>
      <c r="I38" s="10"/>
    </row>
    <row r="39" spans="2:10" x14ac:dyDescent="0.25">
      <c r="B39" s="69" t="s">
        <v>507</v>
      </c>
      <c r="C39" s="69" t="str">
        <f>IF(OR(E27="Telescopic",E27="Symmetric"),"Telescopic/symmetric system on demand, sales@xinnix.eu.","")</f>
        <v/>
      </c>
      <c r="D39" s="69"/>
      <c r="E39" s="69" t="str">
        <f>IF(OR(C39="Only for double doors",C39="Only possible with a Xinnix finish",C39="Telescopic/symmetric system on demand, sales@xinnix.eu.",C39=""),"",VLOOKUP(C39,RAIL!I2:L5,2,FALSE))</f>
        <v/>
      </c>
      <c r="F39" s="68" t="str">
        <f>IF(E39="","",1)</f>
        <v/>
      </c>
      <c r="G39" s="63" t="str">
        <f>IF(F39="","",F39*G7)</f>
        <v/>
      </c>
      <c r="H39" s="46"/>
      <c r="I39" s="10"/>
      <c r="J39" s="12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11"/>
    </row>
    <row r="41" spans="2:10" x14ac:dyDescent="0.25">
      <c r="B41" s="69" t="s">
        <v>538</v>
      </c>
      <c r="C41" s="66" t="s">
        <v>600</v>
      </c>
      <c r="D41" s="69"/>
      <c r="E41" s="69" t="str">
        <f>IF(OR(C41="",C41="Choose your sliding door handle here"),"",VLOOKUP(C41,GREPEN!B2:D48,2,FALSE))</f>
        <v/>
      </c>
      <c r="F41" s="69" t="str">
        <f>IF(E11="Single",G7,IF(E11="Double",G7*2,""))</f>
        <v/>
      </c>
      <c r="G41" s="64" t="s">
        <v>533</v>
      </c>
      <c r="H41" s="11"/>
      <c r="I41" s="11"/>
    </row>
    <row r="42" spans="2:10" x14ac:dyDescent="0.25">
      <c r="B42" s="8"/>
      <c r="C42" s="8"/>
      <c r="D42" s="8"/>
      <c r="E42" s="8"/>
      <c r="F42" s="54"/>
      <c r="G42" s="8"/>
      <c r="H42" s="8"/>
      <c r="I42" s="8"/>
    </row>
    <row r="43" spans="2:10" x14ac:dyDescent="0.25">
      <c r="B43" s="70" t="s">
        <v>1040</v>
      </c>
      <c r="C43" s="69" t="str">
        <f>IF(E17="","",IF(E9="Glass","We do not offer glass sliding doors.",IF(OR(E21=45,E21=60),"Op aanvraag",CONCATENATE("X7","00",IF(E21&lt;41,"02",IF(E21&lt;51,"03","")),IF(E21=40,".40",IF(E21=50,".50","")),IF(E17&lt;2116,"-H1",IF(E17&lt;2416,"-H2",IF(E17&lt;2616,"-H3",IF(E17&lt;30001,"-H4","")))),IF(E19&lt;831,"B1",IF(E19&lt;931,"B2",IF(E19&lt;1070,"B3",IF(E19&lt;1231,"B4","")))),"-X5","-OG",IF(E15="PURE","-PURE",""),IF(C41="XA-3010.I","-X3010",IF(C41="XA-3012.I","-X3012",IF(C41="XA-3035.I","-X3035",IF(C41="XA-3040.W","-X3040",IF(C41="XA-3040.B","-X3040",IF(C41="XA-3040.I","-X3040",IF(C41="XA-3045","-X3045",IF(C41="XA-3050.I","-X3050",IF(C41="XA-3060.I","-X3060",IF(C41="XA-3100.I","-X3100",IF(C41="XA-3105.I","-X3105",IF(C41="XA-3300.I","-X3300",IF(C41="XA-3310.I","-X3310",IF(C41="XA-3335.I","-X3335",IF(C41="XA-3340.W","-X3340",IF(C41="XA-3340.B","-X3340",IF(C41="XA-3340.I","X3340",IF(C41="XA-3345.I","-X3345",IF(C41="XA-3345.I","-X3345",IF(C41="XA-3345.I","-X3345",IF(C41="XA-3350.W","-X3350",IF(C41="XA-3350.B","-X3350",IF(C41="XA-3350.I","-X3350",IF(C41="XA-3723.W","-X3723",IF(C41="XA-3723.B","-X3723",IF(C41="XA-3723.I","-X3723",IF(C41="XA-3739.B","-X3739",IF(C41="XA-3739.I","-X3739",IF(C41="XA-3410.I","-X3410",IF(C41="XA-3435.I","-X3435",IF(C41="XA-3440.I","-X3440",IF(C41="XA-3445.I","-X3445",IF(C41="XA-3772.B","-X3772",IF(C41="XA-3772.I","-X3772",IF(C41="XA-3777.I","-X3777",IF(C41="XA-3778.W","-X3778",IF(C41="XA-3778.B","-X3778",IF(C41="XA-3778.I","-X3778",IF(C41="XA-3703.I","-X3703",)))))))))))))))))))))))))))))))))))))))))))</f>
        <v/>
      </c>
      <c r="D43" s="69"/>
      <c r="E43" s="69" t="str">
        <f>IF(OR(C43="",C43="On demand",C43="We do not offer glass sliding doors."),"","Xinnix calibrated door panel - to paint - milled for X5 ")</f>
        <v/>
      </c>
      <c r="F43" s="71" t="s">
        <v>1044</v>
      </c>
      <c r="G43" s="65" t="str">
        <f>IF(AND(F44="Yes",E11="Single"),G7,IF(AND(F44="Yes",E11="Double"),G7*2,""))</f>
        <v/>
      </c>
      <c r="H43" s="85"/>
      <c r="I43" s="85"/>
    </row>
    <row r="44" spans="2:10" x14ac:dyDescent="0.25">
      <c r="B44" s="8"/>
      <c r="C44" s="8"/>
      <c r="D44" s="8"/>
      <c r="E44" s="8"/>
      <c r="F44" s="72" t="s">
        <v>582</v>
      </c>
      <c r="G44" s="55"/>
      <c r="H44" s="86"/>
      <c r="I44" s="86"/>
    </row>
    <row r="46" spans="2:10" x14ac:dyDescent="0.25">
      <c r="B46" s="67"/>
      <c r="C46" s="67"/>
      <c r="D46" s="67"/>
      <c r="E46" s="67"/>
      <c r="F46" s="67"/>
      <c r="G46" s="67"/>
    </row>
    <row r="47" spans="2:10" x14ac:dyDescent="0.25">
      <c r="B47" s="73" t="s">
        <v>882</v>
      </c>
      <c r="C47" s="73"/>
      <c r="D47" s="73"/>
      <c r="E47" s="73"/>
      <c r="F47" s="70"/>
      <c r="G47" s="70"/>
    </row>
  </sheetData>
  <sheetProtection algorithmName="SHA-512" hashValue="D3PX0NTMdljNU7l+33MSXU6UOcnnuAwEXDd5iRWau9b+1wVLymPETpGOAk5rGzqiR7qJ6hdsAAy46BUqfDA1WQ==" saltValue="jzhSRpl/REbiexCm+WvRig==" spinCount="100000" sheet="1" objects="1" scenarios="1"/>
  <mergeCells count="6">
    <mergeCell ref="H43:I43"/>
    <mergeCell ref="H44:I44"/>
    <mergeCell ref="G25:I25"/>
    <mergeCell ref="G26:I27"/>
    <mergeCell ref="G21:I21"/>
    <mergeCell ref="G22:I22"/>
  </mergeCells>
  <conditionalFormatting sqref="C32">
    <cfRule type="expression" dxfId="5" priority="9">
      <formula>IF(OR($C$32="X5-2410",$C$32="X5-2715",$C$32="X5-3015",$C$32="X5-3515",$C$32="X5D-3515",$C$32="X5D-3515.W",$C$32="X5-WALL2715",$C$32="X5-WALL3015",),"waar","niet waar")</formula>
    </cfRule>
  </conditionalFormatting>
  <conditionalFormatting sqref="C34">
    <cfRule type="expression" dxfId="4" priority="8">
      <formula>IF(OR($C$34="X5-1230B.50GLC",$C$34="X5-1530B.50GLC",$C$34="X5-0830B.50"),"waar","niet waar")</formula>
    </cfRule>
  </conditionalFormatting>
  <conditionalFormatting sqref="C37:C39">
    <cfRule type="expression" dxfId="3" priority="3">
      <formula>IF(OR($C$37="X5-XINNIXGL-27.100/1",$C$37="X5-XINNIXGL-27.100/2",$C$37="X5-XINNIXGL-30.100/1",$C$37="X5-XINNIXGL-30.100/2",$C$37="X5D32-XINNIXGL-30.114/1",$C$37="X5D32-XINNIXGL-30.114/2",$C$37="X5-PURE-35.150",$C$37="X5D-XINNIX-35.150/3",$C$37="X5-XINNIXGL-23.75/1",$C$37="X5-XINNIXGL-23.75/2"),"waar","niet waar")</formula>
    </cfRule>
    <cfRule type="expression" dxfId="2" priority="7">
      <formula>IF(OR($C$37="X5-XINNIX-27.100/1",$C$37="X5-XINNIX-27.100/2",$C$37="X5-XINNIX-30.100/1",$C$37="X5-XINNIX-30.100/2",$C$37="X5-XINNIX-35.100/1",$C$37="X5-XINNIX-35.100/2",$C$37="X5-XINNIX-27.125/1",$C$37="X5-XINNIX-27.125/2",$C$37="X5-XINNIX-30.125/1",$C$37="X5-XINNIX-30.125/2",$C$37="X5-XINNIX-35.125/1",$C$37="X5-XINNIX-35.125/2",$C$37="X5D-XINNIX-35.125/1",$C$37="X5D-XINNIX-35.125/2",$C$37="X5D-XINNIX-35.150/1",$C$37="X5D-XINNIX-35.150/2",$C$37="X5D32-XINNIX-35.139/1",$C$37="X5D32-XINNIX-35.139/2",$C$37="X5-PURE-27.100",$C$37="X5-PURE-30.100",$C$37="X5-PURE-35.100",$C$37="X5-PURE-35.125",$C$37="X5-PURE-35.150",$C$37="X5-PUREGL-23.75"),"waar","niet waar")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A736244-B93C-444D-8655-44D3E6379730}">
          <x14:formula1>
            <xm:f>INVULVELDEN!$A$2:$A$6</xm:f>
          </x14:formula1>
          <xm:sqref>E7</xm:sqref>
        </x14:dataValidation>
        <x14:dataValidation type="list" allowBlank="1" showInputMessage="1" showErrorMessage="1" xr:uid="{3200ED39-5847-4F91-AB1C-B8CF5EF16E93}">
          <x14:formula1>
            <xm:f>INVULVELDEN!$A$7:$A$9</xm:f>
          </x14:formula1>
          <xm:sqref>E9</xm:sqref>
        </x14:dataValidation>
        <x14:dataValidation type="list" allowBlank="1" showInputMessage="1" showErrorMessage="1" xr:uid="{3CD06C98-9733-4816-95C7-2B4EA2293657}">
          <x14:formula1>
            <xm:f>INVULVELDEN!$A$11:$A$13</xm:f>
          </x14:formula1>
          <xm:sqref>E11</xm:sqref>
        </x14:dataValidation>
        <x14:dataValidation type="list" allowBlank="1" showInputMessage="1" showErrorMessage="1" xr:uid="{ED42C412-B466-443D-904D-0DC2B3F18343}">
          <x14:formula1>
            <xm:f>INVULVELDEN!$A$19:$A$21</xm:f>
          </x14:formula1>
          <xm:sqref>E15</xm:sqref>
        </x14:dataValidation>
        <x14:dataValidation type="list" allowBlank="1" showInputMessage="1" showErrorMessage="1" xr:uid="{37A37FF1-8720-4FDE-AA01-58FB6390D5B6}">
          <x14:formula1>
            <xm:f>INVULVELDEN!$A$23:$A$29</xm:f>
          </x14:formula1>
          <xm:sqref>E21</xm:sqref>
        </x14:dataValidation>
        <x14:dataValidation type="list" allowBlank="1" showInputMessage="1" showErrorMessage="1" xr:uid="{D1A7F87A-AEBC-4A7C-9A2C-642E19A9BF5A}">
          <x14:formula1>
            <xm:f>INVULVELDEN!$A$40:$A$42</xm:f>
          </x14:formula1>
          <xm:sqref>E23</xm:sqref>
        </x14:dataValidation>
        <x14:dataValidation type="list" allowBlank="1" showInputMessage="1" showErrorMessage="1" xr:uid="{9304E231-F9BD-4C4C-BFED-2694AB383EFA}">
          <x14:formula1>
            <xm:f>GREPEN!$Y$1:$Y$23</xm:f>
          </x14:formula1>
          <xm:sqref>C41</xm:sqref>
        </x14:dataValidation>
        <x14:dataValidation type="list" allowBlank="1" showInputMessage="1" showErrorMessage="1" xr:uid="{AC5F7301-AC93-4B18-872E-0DB6326B5C77}">
          <x14:formula1>
            <xm:f>INVULVELDEN!$A$15:$A$17</xm:f>
          </x14:formula1>
          <xm:sqref>E13</xm:sqref>
        </x14:dataValidation>
        <x14:dataValidation type="list" allowBlank="1" showInputMessage="1" showErrorMessage="1" xr:uid="{76F043B4-3133-4B58-99F1-18C92E30431F}">
          <x14:formula1>
            <xm:f>INVULVELDEN!$A$45:$A$48</xm:f>
          </x14:formula1>
          <xm:sqref>E27</xm:sqref>
        </x14:dataValidation>
        <x14:dataValidation type="list" allowBlank="1" showInputMessage="1" showErrorMessage="1" xr:uid="{B055D2A6-CEF4-40B9-BD4D-8A2C64C8AE6E}">
          <x14:formula1>
            <xm:f>INVULVELDEN!$A$50:$A$52</xm:f>
          </x14:formula1>
          <xm:sqref>E5</xm:sqref>
        </x14:dataValidation>
        <x14:dataValidation type="list" allowBlank="1" showInputMessage="1" showErrorMessage="1" xr:uid="{0492973D-B8E8-47B3-AB17-D7C729B4A6E2}">
          <x14:formula1>
            <xm:f>INVULVELDEN!$A$54:$A$55</xm:f>
          </x14:formula1>
          <xm:sqref>F44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38EC-E59D-4A72-85C4-D2D096652E10}">
  <sheetPr codeName="Blad6"/>
  <dimension ref="B1:E186"/>
  <sheetViews>
    <sheetView zoomScaleNormal="100" workbookViewId="0">
      <selection activeCell="D17" sqref="D17"/>
    </sheetView>
  </sheetViews>
  <sheetFormatPr defaultRowHeight="15" x14ac:dyDescent="0.25"/>
  <cols>
    <col min="2" max="2" width="30.42578125" style="32" customWidth="1"/>
    <col min="3" max="3" width="77" style="32" customWidth="1"/>
    <col min="4" max="4" width="14.140625" style="34" customWidth="1"/>
    <col min="5" max="5" width="9.140625" style="32"/>
  </cols>
  <sheetData>
    <row r="1" spans="2:5" x14ac:dyDescent="0.25">
      <c r="B1" s="33" t="s">
        <v>27</v>
      </c>
      <c r="C1" s="33" t="s">
        <v>802</v>
      </c>
      <c r="E1" s="5"/>
    </row>
    <row r="2" spans="2:5" x14ac:dyDescent="0.25">
      <c r="B2" s="33" t="s">
        <v>28</v>
      </c>
      <c r="C2" s="33" t="s">
        <v>803</v>
      </c>
      <c r="E2" s="5"/>
    </row>
    <row r="3" spans="2:5" x14ac:dyDescent="0.25">
      <c r="B3" s="33" t="s">
        <v>29</v>
      </c>
      <c r="C3" s="33" t="s">
        <v>748</v>
      </c>
      <c r="E3" s="18"/>
    </row>
    <row r="4" spans="2:5" x14ac:dyDescent="0.25">
      <c r="B4" s="33" t="s">
        <v>30</v>
      </c>
      <c r="C4" s="33" t="s">
        <v>749</v>
      </c>
      <c r="E4" s="18"/>
    </row>
    <row r="5" spans="2:5" x14ac:dyDescent="0.25">
      <c r="B5" s="33" t="s">
        <v>31</v>
      </c>
      <c r="C5" s="33" t="s">
        <v>750</v>
      </c>
      <c r="E5" s="18"/>
    </row>
    <row r="6" spans="2:5" x14ac:dyDescent="0.25">
      <c r="B6" s="33" t="s">
        <v>32</v>
      </c>
      <c r="C6" s="33" t="s">
        <v>748</v>
      </c>
      <c r="E6" s="18"/>
    </row>
    <row r="7" spans="2:5" x14ac:dyDescent="0.25">
      <c r="B7" s="33" t="s">
        <v>33</v>
      </c>
      <c r="C7" s="33" t="s">
        <v>749</v>
      </c>
      <c r="E7" s="18"/>
    </row>
    <row r="8" spans="2:5" x14ac:dyDescent="0.25">
      <c r="B8" s="33" t="s">
        <v>34</v>
      </c>
      <c r="C8" s="33" t="s">
        <v>750</v>
      </c>
      <c r="E8" s="18"/>
    </row>
    <row r="9" spans="2:5" x14ac:dyDescent="0.25">
      <c r="B9" s="33" t="s">
        <v>35</v>
      </c>
      <c r="C9" s="33" t="s">
        <v>764</v>
      </c>
      <c r="E9" s="18"/>
    </row>
    <row r="10" spans="2:5" x14ac:dyDescent="0.25">
      <c r="B10" s="33" t="s">
        <v>36</v>
      </c>
      <c r="C10" s="33" t="s">
        <v>765</v>
      </c>
      <c r="E10" s="18"/>
    </row>
    <row r="11" spans="2:5" x14ac:dyDescent="0.25">
      <c r="B11" s="33" t="s">
        <v>37</v>
      </c>
      <c r="C11" s="33" t="s">
        <v>766</v>
      </c>
      <c r="E11" s="18"/>
    </row>
    <row r="12" spans="2:5" x14ac:dyDescent="0.25">
      <c r="B12" s="33" t="s">
        <v>38</v>
      </c>
      <c r="C12" s="33" t="s">
        <v>764</v>
      </c>
      <c r="E12" s="18"/>
    </row>
    <row r="13" spans="2:5" x14ac:dyDescent="0.25">
      <c r="B13" s="33" t="s">
        <v>39</v>
      </c>
      <c r="C13" s="33" t="s">
        <v>765</v>
      </c>
      <c r="E13" s="18"/>
    </row>
    <row r="14" spans="2:5" x14ac:dyDescent="0.25">
      <c r="B14" s="33" t="s">
        <v>40</v>
      </c>
      <c r="C14" s="33" t="s">
        <v>766</v>
      </c>
      <c r="E14" s="18"/>
    </row>
    <row r="15" spans="2:5" x14ac:dyDescent="0.25">
      <c r="B15" s="33" t="s">
        <v>41</v>
      </c>
      <c r="C15" s="33" t="s">
        <v>764</v>
      </c>
      <c r="E15" s="18"/>
    </row>
    <row r="16" spans="2:5" x14ac:dyDescent="0.25">
      <c r="B16" s="33" t="s">
        <v>42</v>
      </c>
      <c r="C16" s="33" t="s">
        <v>780</v>
      </c>
      <c r="E16" s="18"/>
    </row>
    <row r="17" spans="2:5" x14ac:dyDescent="0.25">
      <c r="B17" s="33" t="s">
        <v>43</v>
      </c>
      <c r="C17" s="33" t="s">
        <v>781</v>
      </c>
      <c r="E17" s="18"/>
    </row>
    <row r="18" spans="2:5" x14ac:dyDescent="0.25">
      <c r="B18" s="33" t="s">
        <v>44</v>
      </c>
      <c r="C18" s="33" t="s">
        <v>782</v>
      </c>
      <c r="E18" s="18"/>
    </row>
    <row r="19" spans="2:5" x14ac:dyDescent="0.25">
      <c r="B19" s="33" t="s">
        <v>45</v>
      </c>
      <c r="C19" s="33" t="s">
        <v>780</v>
      </c>
      <c r="E19" s="18"/>
    </row>
    <row r="20" spans="2:5" x14ac:dyDescent="0.25">
      <c r="B20" s="33" t="s">
        <v>46</v>
      </c>
      <c r="C20" s="33" t="s">
        <v>781</v>
      </c>
      <c r="E20" s="18"/>
    </row>
    <row r="21" spans="2:5" x14ac:dyDescent="0.25">
      <c r="B21" s="33" t="s">
        <v>47</v>
      </c>
      <c r="C21" s="33" t="s">
        <v>796</v>
      </c>
      <c r="E21" s="18"/>
    </row>
    <row r="22" spans="2:5" x14ac:dyDescent="0.25">
      <c r="B22" s="33" t="s">
        <v>48</v>
      </c>
      <c r="C22" s="33" t="s">
        <v>797</v>
      </c>
      <c r="E22" s="18"/>
    </row>
    <row r="23" spans="2:5" x14ac:dyDescent="0.25">
      <c r="B23" s="33" t="s">
        <v>49</v>
      </c>
      <c r="C23" s="33" t="s">
        <v>781</v>
      </c>
      <c r="E23" s="18"/>
    </row>
    <row r="24" spans="2:5" x14ac:dyDescent="0.25">
      <c r="B24" s="33" t="s">
        <v>50</v>
      </c>
      <c r="C24" s="33" t="s">
        <v>701</v>
      </c>
      <c r="E24" s="5"/>
    </row>
    <row r="25" spans="2:5" x14ac:dyDescent="0.25">
      <c r="B25" s="33" t="s">
        <v>51</v>
      </c>
      <c r="C25" s="33" t="s">
        <v>702</v>
      </c>
      <c r="E25" s="5"/>
    </row>
    <row r="26" spans="2:5" x14ac:dyDescent="0.25">
      <c r="B26" s="33" t="s">
        <v>52</v>
      </c>
      <c r="C26" s="33" t="s">
        <v>751</v>
      </c>
      <c r="E26" s="5"/>
    </row>
    <row r="27" spans="2:5" x14ac:dyDescent="0.25">
      <c r="B27" s="33" t="s">
        <v>53</v>
      </c>
      <c r="C27" s="33" t="s">
        <v>752</v>
      </c>
      <c r="E27" s="5"/>
    </row>
    <row r="28" spans="2:5" x14ac:dyDescent="0.25">
      <c r="B28" s="33" t="s">
        <v>54</v>
      </c>
      <c r="C28" s="33" t="s">
        <v>753</v>
      </c>
      <c r="E28" s="5"/>
    </row>
    <row r="29" spans="2:5" x14ac:dyDescent="0.25">
      <c r="B29" s="33" t="s">
        <v>55</v>
      </c>
      <c r="C29" s="33" t="s">
        <v>751</v>
      </c>
      <c r="E29" s="5"/>
    </row>
    <row r="30" spans="2:5" x14ac:dyDescent="0.25">
      <c r="B30" s="33" t="s">
        <v>56</v>
      </c>
      <c r="C30" s="33" t="s">
        <v>752</v>
      </c>
      <c r="E30" s="5"/>
    </row>
    <row r="31" spans="2:5" x14ac:dyDescent="0.25">
      <c r="B31" s="33" t="s">
        <v>57</v>
      </c>
      <c r="C31" s="33" t="s">
        <v>753</v>
      </c>
      <c r="E31" s="5"/>
    </row>
    <row r="32" spans="2:5" x14ac:dyDescent="0.25">
      <c r="B32" s="33" t="s">
        <v>58</v>
      </c>
      <c r="C32" s="33" t="s">
        <v>767</v>
      </c>
      <c r="E32" s="5"/>
    </row>
    <row r="33" spans="2:5" x14ac:dyDescent="0.25">
      <c r="B33" s="33" t="s">
        <v>59</v>
      </c>
      <c r="C33" s="33" t="s">
        <v>768</v>
      </c>
      <c r="E33" s="5"/>
    </row>
    <row r="34" spans="2:5" x14ac:dyDescent="0.25">
      <c r="B34" s="33" t="s">
        <v>60</v>
      </c>
      <c r="C34" s="33" t="s">
        <v>769</v>
      </c>
      <c r="E34" s="5"/>
    </row>
    <row r="35" spans="2:5" x14ac:dyDescent="0.25">
      <c r="B35" s="33" t="s">
        <v>61</v>
      </c>
      <c r="C35" s="33" t="s">
        <v>767</v>
      </c>
      <c r="E35" s="5"/>
    </row>
    <row r="36" spans="2:5" x14ac:dyDescent="0.25">
      <c r="B36" s="33" t="s">
        <v>62</v>
      </c>
      <c r="C36" s="33" t="s">
        <v>768</v>
      </c>
      <c r="E36" s="5"/>
    </row>
    <row r="37" spans="2:5" x14ac:dyDescent="0.25">
      <c r="B37" s="33" t="s">
        <v>63</v>
      </c>
      <c r="C37" s="33" t="s">
        <v>769</v>
      </c>
      <c r="E37" s="5"/>
    </row>
    <row r="38" spans="2:5" x14ac:dyDescent="0.25">
      <c r="B38" s="33" t="s">
        <v>64</v>
      </c>
      <c r="C38" s="33" t="s">
        <v>767</v>
      </c>
      <c r="E38" s="5"/>
    </row>
    <row r="39" spans="2:5" x14ac:dyDescent="0.25">
      <c r="B39" s="33" t="s">
        <v>65</v>
      </c>
      <c r="C39" s="33" t="s">
        <v>783</v>
      </c>
      <c r="E39" s="5"/>
    </row>
    <row r="40" spans="2:5" x14ac:dyDescent="0.25">
      <c r="B40" s="33" t="s">
        <v>66</v>
      </c>
      <c r="C40" s="33" t="s">
        <v>784</v>
      </c>
      <c r="E40" s="5"/>
    </row>
    <row r="41" spans="2:5" x14ac:dyDescent="0.25">
      <c r="B41" s="33" t="s">
        <v>67</v>
      </c>
      <c r="C41" s="33" t="s">
        <v>785</v>
      </c>
      <c r="E41" s="5"/>
    </row>
    <row r="42" spans="2:5" x14ac:dyDescent="0.25">
      <c r="B42" s="33" t="s">
        <v>68</v>
      </c>
      <c r="C42" s="33" t="s">
        <v>783</v>
      </c>
      <c r="E42" s="5"/>
    </row>
    <row r="43" spans="2:5" x14ac:dyDescent="0.25">
      <c r="B43" s="33" t="s">
        <v>69</v>
      </c>
      <c r="C43" s="33" t="s">
        <v>784</v>
      </c>
      <c r="E43" s="5"/>
    </row>
    <row r="44" spans="2:5" x14ac:dyDescent="0.25">
      <c r="B44" s="33" t="s">
        <v>70</v>
      </c>
      <c r="C44" s="33" t="s">
        <v>836</v>
      </c>
      <c r="E44" s="5"/>
    </row>
    <row r="45" spans="2:5" x14ac:dyDescent="0.25">
      <c r="B45" s="33" t="s">
        <v>71</v>
      </c>
      <c r="C45" s="33" t="s">
        <v>837</v>
      </c>
      <c r="E45" s="5"/>
    </row>
    <row r="46" spans="2:5" x14ac:dyDescent="0.25">
      <c r="B46" s="33" t="s">
        <v>72</v>
      </c>
      <c r="C46" s="33" t="s">
        <v>837</v>
      </c>
      <c r="E46" s="5"/>
    </row>
    <row r="47" spans="2:5" x14ac:dyDescent="0.25">
      <c r="B47" s="33" t="s">
        <v>73</v>
      </c>
      <c r="C47" s="33" t="s">
        <v>838</v>
      </c>
      <c r="E47" s="5"/>
    </row>
    <row r="48" spans="2:5" x14ac:dyDescent="0.25">
      <c r="B48" s="33" t="s">
        <v>74</v>
      </c>
      <c r="C48" s="33" t="s">
        <v>804</v>
      </c>
      <c r="E48" s="5"/>
    </row>
    <row r="49" spans="2:5" x14ac:dyDescent="0.25">
      <c r="B49" s="33" t="s">
        <v>75</v>
      </c>
      <c r="C49" s="33" t="s">
        <v>839</v>
      </c>
      <c r="E49" s="5"/>
    </row>
    <row r="50" spans="2:5" x14ac:dyDescent="0.25">
      <c r="B50" s="33" t="s">
        <v>76</v>
      </c>
      <c r="C50" s="33" t="s">
        <v>805</v>
      </c>
      <c r="E50" s="5"/>
    </row>
    <row r="51" spans="2:5" x14ac:dyDescent="0.25">
      <c r="B51" s="33" t="s">
        <v>77</v>
      </c>
      <c r="C51" s="33" t="s">
        <v>840</v>
      </c>
      <c r="E51" s="18"/>
    </row>
    <row r="52" spans="2:5" x14ac:dyDescent="0.25">
      <c r="B52" s="33" t="s">
        <v>78</v>
      </c>
      <c r="C52" s="33" t="s">
        <v>806</v>
      </c>
      <c r="E52" s="18"/>
    </row>
    <row r="53" spans="2:5" x14ac:dyDescent="0.25">
      <c r="B53" s="33" t="s">
        <v>79</v>
      </c>
      <c r="C53" s="33" t="s">
        <v>841</v>
      </c>
      <c r="E53" s="18"/>
    </row>
    <row r="54" spans="2:5" x14ac:dyDescent="0.25">
      <c r="B54" s="33" t="s">
        <v>80</v>
      </c>
      <c r="C54" s="33" t="s">
        <v>807</v>
      </c>
      <c r="E54" s="18"/>
    </row>
    <row r="55" spans="2:5" x14ac:dyDescent="0.25">
      <c r="B55" s="33" t="s">
        <v>81</v>
      </c>
      <c r="C55" s="33" t="s">
        <v>842</v>
      </c>
      <c r="E55" s="18"/>
    </row>
    <row r="56" spans="2:5" x14ac:dyDescent="0.25">
      <c r="B56" s="33" t="s">
        <v>82</v>
      </c>
      <c r="C56" s="33" t="s">
        <v>808</v>
      </c>
      <c r="E56" s="18"/>
    </row>
    <row r="57" spans="2:5" x14ac:dyDescent="0.25">
      <c r="B57" s="33" t="s">
        <v>83</v>
      </c>
      <c r="C57" s="33" t="s">
        <v>843</v>
      </c>
      <c r="E57" s="18"/>
    </row>
    <row r="58" spans="2:5" x14ac:dyDescent="0.25">
      <c r="B58" s="33" t="s">
        <v>84</v>
      </c>
      <c r="C58" s="33" t="s">
        <v>809</v>
      </c>
      <c r="E58" s="18"/>
    </row>
    <row r="59" spans="2:5" x14ac:dyDescent="0.25">
      <c r="B59" s="33" t="s">
        <v>85</v>
      </c>
      <c r="C59" s="33" t="s">
        <v>844</v>
      </c>
      <c r="E59" s="18"/>
    </row>
    <row r="60" spans="2:5" x14ac:dyDescent="0.25">
      <c r="B60" s="33" t="s">
        <v>86</v>
      </c>
      <c r="C60" s="33" t="s">
        <v>810</v>
      </c>
      <c r="E60" s="18"/>
    </row>
    <row r="61" spans="2:5" x14ac:dyDescent="0.25">
      <c r="B61" s="33" t="s">
        <v>87</v>
      </c>
      <c r="C61" s="33" t="s">
        <v>662</v>
      </c>
      <c r="E61" s="5"/>
    </row>
    <row r="62" spans="2:5" x14ac:dyDescent="0.25">
      <c r="B62" s="33" t="s">
        <v>88</v>
      </c>
      <c r="C62" s="33" t="s">
        <v>754</v>
      </c>
      <c r="E62" s="5"/>
    </row>
    <row r="63" spans="2:5" x14ac:dyDescent="0.25">
      <c r="B63" s="33" t="s">
        <v>89</v>
      </c>
      <c r="C63" s="33" t="s">
        <v>755</v>
      </c>
      <c r="E63" s="5"/>
    </row>
    <row r="64" spans="2:5" x14ac:dyDescent="0.25">
      <c r="B64" s="33" t="s">
        <v>90</v>
      </c>
      <c r="C64" s="33" t="s">
        <v>756</v>
      </c>
      <c r="E64" s="5"/>
    </row>
    <row r="65" spans="2:5" x14ac:dyDescent="0.25">
      <c r="B65" s="33" t="s">
        <v>91</v>
      </c>
      <c r="C65" s="33" t="s">
        <v>757</v>
      </c>
      <c r="E65" s="5"/>
    </row>
    <row r="66" spans="2:5" x14ac:dyDescent="0.25">
      <c r="B66" s="33" t="s">
        <v>92</v>
      </c>
      <c r="C66" s="33" t="s">
        <v>758</v>
      </c>
      <c r="E66" s="5"/>
    </row>
    <row r="67" spans="2:5" x14ac:dyDescent="0.25">
      <c r="B67" s="33" t="s">
        <v>93</v>
      </c>
      <c r="C67" s="33" t="s">
        <v>770</v>
      </c>
      <c r="E67" s="5"/>
    </row>
    <row r="68" spans="2:5" x14ac:dyDescent="0.25">
      <c r="B68" s="33" t="s">
        <v>94</v>
      </c>
      <c r="C68" s="33" t="s">
        <v>771</v>
      </c>
      <c r="E68" s="5"/>
    </row>
    <row r="69" spans="2:5" x14ac:dyDescent="0.25">
      <c r="B69" s="33" t="s">
        <v>95</v>
      </c>
      <c r="C69" s="33" t="s">
        <v>772</v>
      </c>
      <c r="E69" s="5"/>
    </row>
    <row r="70" spans="2:5" x14ac:dyDescent="0.25">
      <c r="B70" s="33" t="s">
        <v>96</v>
      </c>
      <c r="C70" s="33" t="s">
        <v>773</v>
      </c>
      <c r="E70" s="5"/>
    </row>
    <row r="71" spans="2:5" x14ac:dyDescent="0.25">
      <c r="B71" s="33" t="s">
        <v>97</v>
      </c>
      <c r="C71" s="33" t="s">
        <v>798</v>
      </c>
      <c r="E71" s="5"/>
    </row>
    <row r="72" spans="2:5" x14ac:dyDescent="0.25">
      <c r="B72" s="33" t="s">
        <v>98</v>
      </c>
      <c r="C72" s="33" t="s">
        <v>799</v>
      </c>
      <c r="E72" s="5"/>
    </row>
    <row r="73" spans="2:5" x14ac:dyDescent="0.25">
      <c r="B73" s="33" t="s">
        <v>99</v>
      </c>
      <c r="C73" s="33" t="s">
        <v>786</v>
      </c>
      <c r="E73" s="5"/>
    </row>
    <row r="74" spans="2:5" x14ac:dyDescent="0.25">
      <c r="B74" s="33" t="s">
        <v>100</v>
      </c>
      <c r="C74" s="33" t="s">
        <v>787</v>
      </c>
      <c r="E74" s="5"/>
    </row>
    <row r="75" spans="2:5" x14ac:dyDescent="0.25">
      <c r="B75" s="33" t="s">
        <v>101</v>
      </c>
      <c r="C75" s="33" t="s">
        <v>788</v>
      </c>
      <c r="E75" s="5"/>
    </row>
    <row r="76" spans="2:5" x14ac:dyDescent="0.25">
      <c r="B76" s="33" t="s">
        <v>102</v>
      </c>
      <c r="C76" s="33" t="s">
        <v>789</v>
      </c>
      <c r="E76" s="5"/>
    </row>
    <row r="77" spans="2:5" x14ac:dyDescent="0.25">
      <c r="B77" s="33" t="s">
        <v>103</v>
      </c>
      <c r="C77" s="33" t="s">
        <v>759</v>
      </c>
      <c r="E77" s="5"/>
    </row>
    <row r="78" spans="2:5" x14ac:dyDescent="0.25">
      <c r="B78" s="33" t="s">
        <v>104</v>
      </c>
      <c r="C78" s="33" t="s">
        <v>760</v>
      </c>
      <c r="E78" s="5"/>
    </row>
    <row r="79" spans="2:5" x14ac:dyDescent="0.25">
      <c r="B79" s="33" t="s">
        <v>105</v>
      </c>
      <c r="C79" s="33" t="s">
        <v>774</v>
      </c>
      <c r="E79" s="5"/>
    </row>
    <row r="80" spans="2:5" x14ac:dyDescent="0.25">
      <c r="B80" s="33" t="s">
        <v>106</v>
      </c>
      <c r="C80" s="33" t="s">
        <v>775</v>
      </c>
      <c r="E80" s="5"/>
    </row>
    <row r="81" spans="2:5" x14ac:dyDescent="0.25">
      <c r="B81" s="33" t="s">
        <v>107</v>
      </c>
      <c r="C81" s="33" t="s">
        <v>790</v>
      </c>
      <c r="E81" s="5"/>
    </row>
    <row r="82" spans="2:5" x14ac:dyDescent="0.25">
      <c r="B82" s="33" t="s">
        <v>108</v>
      </c>
      <c r="C82" s="33" t="s">
        <v>791</v>
      </c>
      <c r="E82" s="5"/>
    </row>
    <row r="83" spans="2:5" x14ac:dyDescent="0.25">
      <c r="B83" s="33" t="s">
        <v>109</v>
      </c>
      <c r="C83" s="33" t="s">
        <v>761</v>
      </c>
      <c r="E83" s="5"/>
    </row>
    <row r="84" spans="2:5" x14ac:dyDescent="0.25">
      <c r="B84" s="33" t="s">
        <v>110</v>
      </c>
      <c r="C84" s="33" t="s">
        <v>762</v>
      </c>
      <c r="E84" s="5"/>
    </row>
    <row r="85" spans="2:5" x14ac:dyDescent="0.25">
      <c r="B85" s="33" t="s">
        <v>111</v>
      </c>
      <c r="C85" s="33" t="s">
        <v>776</v>
      </c>
      <c r="E85" s="5"/>
    </row>
    <row r="86" spans="2:5" x14ac:dyDescent="0.25">
      <c r="B86" s="33" t="s">
        <v>112</v>
      </c>
      <c r="C86" s="33" t="s">
        <v>777</v>
      </c>
      <c r="E86" s="5"/>
    </row>
    <row r="87" spans="2:5" x14ac:dyDescent="0.25">
      <c r="B87" s="33" t="s">
        <v>113</v>
      </c>
      <c r="C87" s="33" t="s">
        <v>792</v>
      </c>
      <c r="E87" s="5"/>
    </row>
    <row r="88" spans="2:5" x14ac:dyDescent="0.25">
      <c r="B88" s="33" t="s">
        <v>114</v>
      </c>
      <c r="C88" s="33" t="s">
        <v>793</v>
      </c>
      <c r="E88" s="5"/>
    </row>
    <row r="89" spans="2:5" x14ac:dyDescent="0.25">
      <c r="B89" s="33" t="s">
        <v>115</v>
      </c>
      <c r="C89" s="33" t="s">
        <v>666</v>
      </c>
      <c r="E89" s="5"/>
    </row>
    <row r="90" spans="2:5" x14ac:dyDescent="0.25">
      <c r="B90" s="33" t="s">
        <v>116</v>
      </c>
      <c r="C90" s="33" t="s">
        <v>665</v>
      </c>
      <c r="E90" s="5"/>
    </row>
    <row r="91" spans="2:5" x14ac:dyDescent="0.25">
      <c r="B91" s="33" t="s">
        <v>117</v>
      </c>
      <c r="C91" s="33" t="s">
        <v>829</v>
      </c>
      <c r="E91" s="5"/>
    </row>
    <row r="92" spans="2:5" x14ac:dyDescent="0.25">
      <c r="B92" s="33" t="s">
        <v>118</v>
      </c>
      <c r="C92" s="33" t="s">
        <v>811</v>
      </c>
      <c r="E92" s="5"/>
    </row>
    <row r="93" spans="2:5" x14ac:dyDescent="0.25">
      <c r="B93" s="33" t="s">
        <v>119</v>
      </c>
      <c r="C93" s="33" t="s">
        <v>830</v>
      </c>
      <c r="E93" s="5"/>
    </row>
    <row r="94" spans="2:5" x14ac:dyDescent="0.25">
      <c r="B94" s="33" t="s">
        <v>120</v>
      </c>
      <c r="C94" s="33" t="s">
        <v>812</v>
      </c>
      <c r="E94" s="5"/>
    </row>
    <row r="95" spans="2:5" x14ac:dyDescent="0.25">
      <c r="B95" s="33" t="s">
        <v>505</v>
      </c>
      <c r="C95" s="33" t="s">
        <v>831</v>
      </c>
      <c r="E95" s="5"/>
    </row>
    <row r="96" spans="2:5" x14ac:dyDescent="0.25">
      <c r="B96" s="33" t="s">
        <v>506</v>
      </c>
      <c r="C96" s="33" t="s">
        <v>813</v>
      </c>
      <c r="E96" s="5"/>
    </row>
    <row r="97" spans="2:5" x14ac:dyDescent="0.25">
      <c r="B97" s="47" t="s">
        <v>883</v>
      </c>
      <c r="C97" s="47" t="s">
        <v>884</v>
      </c>
      <c r="E97" s="5"/>
    </row>
    <row r="98" spans="2:5" x14ac:dyDescent="0.25">
      <c r="B98" s="47" t="s">
        <v>885</v>
      </c>
      <c r="C98" s="47" t="s">
        <v>886</v>
      </c>
      <c r="E98" s="5"/>
    </row>
    <row r="99" spans="2:5" x14ac:dyDescent="0.25">
      <c r="B99" s="47" t="s">
        <v>887</v>
      </c>
      <c r="C99" s="47" t="s">
        <v>888</v>
      </c>
      <c r="E99" s="5"/>
    </row>
    <row r="100" spans="2:5" x14ac:dyDescent="0.25">
      <c r="B100" s="47" t="s">
        <v>889</v>
      </c>
      <c r="C100" s="47" t="s">
        <v>890</v>
      </c>
      <c r="E100" s="5"/>
    </row>
    <row r="101" spans="2:5" x14ac:dyDescent="0.25">
      <c r="B101" s="47" t="s">
        <v>891</v>
      </c>
      <c r="C101" s="47" t="s">
        <v>892</v>
      </c>
      <c r="E101" s="5"/>
    </row>
    <row r="102" spans="2:5" x14ac:dyDescent="0.25">
      <c r="B102" s="47" t="s">
        <v>893</v>
      </c>
      <c r="C102" s="47" t="s">
        <v>894</v>
      </c>
      <c r="E102" s="5"/>
    </row>
    <row r="103" spans="2:5" x14ac:dyDescent="0.25">
      <c r="B103" s="47" t="s">
        <v>895</v>
      </c>
      <c r="C103" s="47" t="s">
        <v>896</v>
      </c>
      <c r="E103" s="5"/>
    </row>
    <row r="104" spans="2:5" x14ac:dyDescent="0.25">
      <c r="B104" s="47" t="s">
        <v>897</v>
      </c>
      <c r="C104" s="47" t="s">
        <v>898</v>
      </c>
      <c r="E104" s="5"/>
    </row>
    <row r="105" spans="2:5" x14ac:dyDescent="0.25">
      <c r="B105" s="47" t="s">
        <v>899</v>
      </c>
      <c r="C105" s="47" t="s">
        <v>900</v>
      </c>
      <c r="E105" s="5"/>
    </row>
    <row r="106" spans="2:5" x14ac:dyDescent="0.25">
      <c r="B106" s="47" t="s">
        <v>901</v>
      </c>
      <c r="C106" s="47" t="s">
        <v>902</v>
      </c>
      <c r="E106" s="5"/>
    </row>
    <row r="107" spans="2:5" x14ac:dyDescent="0.25">
      <c r="B107" s="47" t="s">
        <v>903</v>
      </c>
      <c r="C107" s="47" t="s">
        <v>904</v>
      </c>
      <c r="E107" s="5"/>
    </row>
    <row r="108" spans="2:5" x14ac:dyDescent="0.25">
      <c r="B108" s="47" t="s">
        <v>905</v>
      </c>
      <c r="C108" s="47" t="s">
        <v>906</v>
      </c>
      <c r="E108" s="5"/>
    </row>
    <row r="109" spans="2:5" x14ac:dyDescent="0.25">
      <c r="B109" s="47" t="s">
        <v>907</v>
      </c>
      <c r="C109" s="47" t="s">
        <v>908</v>
      </c>
      <c r="E109" s="5"/>
    </row>
    <row r="110" spans="2:5" x14ac:dyDescent="0.25">
      <c r="B110" s="47" t="s">
        <v>909</v>
      </c>
      <c r="C110" s="47" t="s">
        <v>910</v>
      </c>
      <c r="E110" s="5"/>
    </row>
    <row r="111" spans="2:5" x14ac:dyDescent="0.25">
      <c r="B111" s="47" t="s">
        <v>911</v>
      </c>
      <c r="C111" s="47" t="s">
        <v>912</v>
      </c>
      <c r="E111" s="5"/>
    </row>
    <row r="112" spans="2:5" x14ac:dyDescent="0.25">
      <c r="B112" s="47" t="s">
        <v>913</v>
      </c>
      <c r="C112" s="47" t="s">
        <v>914</v>
      </c>
      <c r="E112" s="5"/>
    </row>
    <row r="113" spans="2:5" x14ac:dyDescent="0.25">
      <c r="B113" s="47" t="s">
        <v>915</v>
      </c>
      <c r="C113" s="47" t="s">
        <v>916</v>
      </c>
      <c r="E113" s="5"/>
    </row>
    <row r="114" spans="2:5" x14ac:dyDescent="0.25">
      <c r="B114" s="47" t="s">
        <v>917</v>
      </c>
      <c r="C114" s="47" t="s">
        <v>918</v>
      </c>
      <c r="E114" s="5"/>
    </row>
    <row r="115" spans="2:5" x14ac:dyDescent="0.25">
      <c r="B115" s="47" t="s">
        <v>919</v>
      </c>
      <c r="C115" s="47" t="s">
        <v>920</v>
      </c>
      <c r="E115" s="5"/>
    </row>
    <row r="116" spans="2:5" x14ac:dyDescent="0.25">
      <c r="B116" s="47" t="s">
        <v>921</v>
      </c>
      <c r="C116" s="47" t="s">
        <v>922</v>
      </c>
      <c r="E116" s="5"/>
    </row>
    <row r="117" spans="2:5" x14ac:dyDescent="0.25">
      <c r="B117" s="47" t="s">
        <v>923</v>
      </c>
      <c r="C117" s="47" t="s">
        <v>924</v>
      </c>
      <c r="E117" s="5"/>
    </row>
    <row r="118" spans="2:5" x14ac:dyDescent="0.25">
      <c r="B118" s="47" t="s">
        <v>925</v>
      </c>
      <c r="C118" s="47" t="s">
        <v>926</v>
      </c>
      <c r="E118" s="5"/>
    </row>
    <row r="119" spans="2:5" x14ac:dyDescent="0.25">
      <c r="B119" s="47" t="s">
        <v>927</v>
      </c>
      <c r="C119" s="47" t="s">
        <v>928</v>
      </c>
      <c r="E119" s="5"/>
    </row>
    <row r="120" spans="2:5" x14ac:dyDescent="0.25">
      <c r="B120" s="47" t="s">
        <v>929</v>
      </c>
      <c r="C120" s="47" t="s">
        <v>930</v>
      </c>
      <c r="E120" s="5"/>
    </row>
    <row r="121" spans="2:5" x14ac:dyDescent="0.25">
      <c r="B121" s="47" t="s">
        <v>931</v>
      </c>
      <c r="C121" s="47" t="s">
        <v>932</v>
      </c>
      <c r="E121" s="5"/>
    </row>
    <row r="122" spans="2:5" x14ac:dyDescent="0.25">
      <c r="B122" s="47" t="s">
        <v>933</v>
      </c>
      <c r="C122" s="47" t="s">
        <v>934</v>
      </c>
      <c r="E122" s="5"/>
    </row>
    <row r="123" spans="2:5" x14ac:dyDescent="0.25">
      <c r="B123" s="47" t="s">
        <v>935</v>
      </c>
      <c r="C123" s="47" t="s">
        <v>936</v>
      </c>
      <c r="E123" s="5"/>
    </row>
    <row r="124" spans="2:5" x14ac:dyDescent="0.25">
      <c r="B124" s="47" t="s">
        <v>937</v>
      </c>
      <c r="C124" s="47" t="s">
        <v>938</v>
      </c>
      <c r="E124" s="5"/>
    </row>
    <row r="125" spans="2:5" x14ac:dyDescent="0.25">
      <c r="B125" s="47" t="s">
        <v>939</v>
      </c>
      <c r="C125" s="47" t="s">
        <v>940</v>
      </c>
      <c r="E125" s="5"/>
    </row>
    <row r="126" spans="2:5" x14ac:dyDescent="0.25">
      <c r="B126" s="47" t="s">
        <v>941</v>
      </c>
      <c r="C126" s="47" t="s">
        <v>942</v>
      </c>
      <c r="E126" s="5"/>
    </row>
    <row r="127" spans="2:5" x14ac:dyDescent="0.25">
      <c r="B127" s="47" t="s">
        <v>943</v>
      </c>
      <c r="C127" s="47" t="s">
        <v>944</v>
      </c>
      <c r="E127" s="5"/>
    </row>
    <row r="128" spans="2:5" x14ac:dyDescent="0.25">
      <c r="B128" s="47" t="s">
        <v>945</v>
      </c>
      <c r="C128" s="47" t="s">
        <v>946</v>
      </c>
      <c r="E128" s="5"/>
    </row>
    <row r="129" spans="2:5" x14ac:dyDescent="0.25">
      <c r="B129" s="47" t="s">
        <v>947</v>
      </c>
      <c r="C129" s="47" t="s">
        <v>948</v>
      </c>
      <c r="E129" s="5"/>
    </row>
    <row r="130" spans="2:5" x14ac:dyDescent="0.25">
      <c r="B130" s="47" t="s">
        <v>949</v>
      </c>
      <c r="C130" s="47" t="s">
        <v>950</v>
      </c>
      <c r="E130" s="5"/>
    </row>
    <row r="131" spans="2:5" x14ac:dyDescent="0.25">
      <c r="B131" s="47" t="s">
        <v>951</v>
      </c>
      <c r="C131" s="47" t="s">
        <v>952</v>
      </c>
      <c r="E131" s="5"/>
    </row>
    <row r="132" spans="2:5" x14ac:dyDescent="0.25">
      <c r="B132" s="47" t="s">
        <v>953</v>
      </c>
      <c r="C132" s="47" t="s">
        <v>954</v>
      </c>
      <c r="E132" s="5"/>
    </row>
    <row r="133" spans="2:5" x14ac:dyDescent="0.25">
      <c r="B133" s="47" t="s">
        <v>955</v>
      </c>
      <c r="C133" s="47" t="s">
        <v>956</v>
      </c>
      <c r="E133" s="5"/>
    </row>
    <row r="134" spans="2:5" x14ac:dyDescent="0.25">
      <c r="B134" s="47" t="s">
        <v>957</v>
      </c>
      <c r="C134" s="47" t="s">
        <v>958</v>
      </c>
      <c r="E134" s="5"/>
    </row>
    <row r="135" spans="2:5" x14ac:dyDescent="0.25">
      <c r="B135" s="47" t="s">
        <v>959</v>
      </c>
      <c r="C135" s="47" t="s">
        <v>960</v>
      </c>
      <c r="D135" s="36"/>
    </row>
    <row r="136" spans="2:5" x14ac:dyDescent="0.25">
      <c r="B136" s="47" t="s">
        <v>961</v>
      </c>
      <c r="C136" s="47" t="s">
        <v>962</v>
      </c>
      <c r="D136" s="36"/>
    </row>
    <row r="137" spans="2:5" x14ac:dyDescent="0.25">
      <c r="B137" s="47" t="s">
        <v>963</v>
      </c>
      <c r="C137" s="47" t="s">
        <v>964</v>
      </c>
      <c r="D137" s="36"/>
    </row>
    <row r="138" spans="2:5" x14ac:dyDescent="0.25">
      <c r="B138" s="47" t="s">
        <v>965</v>
      </c>
      <c r="C138" s="47" t="s">
        <v>966</v>
      </c>
      <c r="D138" s="36"/>
    </row>
    <row r="139" spans="2:5" x14ac:dyDescent="0.25">
      <c r="B139" s="47" t="s">
        <v>967</v>
      </c>
      <c r="C139" s="47" t="s">
        <v>968</v>
      </c>
      <c r="D139" s="36"/>
    </row>
    <row r="140" spans="2:5" x14ac:dyDescent="0.25">
      <c r="B140" s="35" t="s">
        <v>703</v>
      </c>
      <c r="C140" s="35" t="s">
        <v>832</v>
      </c>
      <c r="D140" s="38"/>
    </row>
    <row r="141" spans="2:5" x14ac:dyDescent="0.25">
      <c r="B141" s="35" t="s">
        <v>704</v>
      </c>
      <c r="C141" s="35" t="s">
        <v>814</v>
      </c>
      <c r="D141" s="38"/>
    </row>
    <row r="142" spans="2:5" x14ac:dyDescent="0.25">
      <c r="B142" s="35" t="s">
        <v>705</v>
      </c>
      <c r="C142" s="35" t="s">
        <v>815</v>
      </c>
      <c r="D142" s="38"/>
    </row>
    <row r="143" spans="2:5" x14ac:dyDescent="0.25">
      <c r="B143" s="35" t="s">
        <v>706</v>
      </c>
      <c r="C143" s="35" t="s">
        <v>832</v>
      </c>
      <c r="D143" s="38"/>
    </row>
    <row r="144" spans="2:5" x14ac:dyDescent="0.25">
      <c r="B144" s="35" t="s">
        <v>707</v>
      </c>
      <c r="C144" s="35" t="s">
        <v>814</v>
      </c>
      <c r="D144" s="38"/>
    </row>
    <row r="145" spans="2:4" x14ac:dyDescent="0.25">
      <c r="B145" s="35" t="s">
        <v>708</v>
      </c>
      <c r="C145" s="35" t="s">
        <v>816</v>
      </c>
      <c r="D145" s="38"/>
    </row>
    <row r="146" spans="2:4" x14ac:dyDescent="0.25">
      <c r="B146" s="35" t="s">
        <v>709</v>
      </c>
      <c r="C146" s="35" t="s">
        <v>833</v>
      </c>
      <c r="D146" s="38"/>
    </row>
    <row r="147" spans="2:4" x14ac:dyDescent="0.25">
      <c r="B147" s="35" t="s">
        <v>710</v>
      </c>
      <c r="C147" s="35" t="s">
        <v>817</v>
      </c>
      <c r="D147" s="38"/>
    </row>
    <row r="148" spans="2:4" x14ac:dyDescent="0.25">
      <c r="B148" s="35" t="s">
        <v>711</v>
      </c>
      <c r="C148" s="35" t="s">
        <v>818</v>
      </c>
      <c r="D148" s="38"/>
    </row>
    <row r="149" spans="2:4" x14ac:dyDescent="0.25">
      <c r="B149" s="35" t="s">
        <v>712</v>
      </c>
      <c r="C149" s="35" t="s">
        <v>833</v>
      </c>
      <c r="D149" s="38"/>
    </row>
    <row r="150" spans="2:4" x14ac:dyDescent="0.25">
      <c r="B150" s="35" t="s">
        <v>713</v>
      </c>
      <c r="C150" s="35" t="s">
        <v>817</v>
      </c>
      <c r="D150" s="38"/>
    </row>
    <row r="151" spans="2:4" x14ac:dyDescent="0.25">
      <c r="B151" s="35" t="s">
        <v>714</v>
      </c>
      <c r="C151" s="35" t="s">
        <v>818</v>
      </c>
      <c r="D151" s="38"/>
    </row>
    <row r="152" spans="2:4" x14ac:dyDescent="0.25">
      <c r="B152" s="35" t="s">
        <v>715</v>
      </c>
      <c r="C152" s="35" t="s">
        <v>834</v>
      </c>
      <c r="D152" s="38"/>
    </row>
    <row r="153" spans="2:4" x14ac:dyDescent="0.25">
      <c r="B153" s="35" t="s">
        <v>716</v>
      </c>
      <c r="C153" s="35" t="s">
        <v>819</v>
      </c>
      <c r="D153" s="38"/>
    </row>
    <row r="154" spans="2:4" x14ac:dyDescent="0.25">
      <c r="B154" s="35" t="s">
        <v>717</v>
      </c>
      <c r="C154" s="35" t="s">
        <v>820</v>
      </c>
      <c r="D154" s="38"/>
    </row>
    <row r="155" spans="2:4" x14ac:dyDescent="0.25">
      <c r="B155" s="35" t="s">
        <v>718</v>
      </c>
      <c r="C155" s="35" t="s">
        <v>834</v>
      </c>
      <c r="D155" s="38"/>
    </row>
    <row r="156" spans="2:4" x14ac:dyDescent="0.25">
      <c r="B156" s="35" t="s">
        <v>719</v>
      </c>
      <c r="C156" s="35" t="s">
        <v>819</v>
      </c>
      <c r="D156" s="38"/>
    </row>
    <row r="157" spans="2:4" x14ac:dyDescent="0.25">
      <c r="B157" s="35" t="s">
        <v>720</v>
      </c>
      <c r="C157" s="35" t="s">
        <v>820</v>
      </c>
      <c r="D157" s="38"/>
    </row>
    <row r="158" spans="2:4" x14ac:dyDescent="0.25">
      <c r="B158" s="35" t="s">
        <v>721</v>
      </c>
      <c r="C158" s="35" t="s">
        <v>821</v>
      </c>
      <c r="D158" s="38"/>
    </row>
    <row r="159" spans="2:4" x14ac:dyDescent="0.25">
      <c r="B159" s="35" t="s">
        <v>722</v>
      </c>
      <c r="C159" s="35" t="s">
        <v>822</v>
      </c>
      <c r="D159" s="38"/>
    </row>
    <row r="160" spans="2:4" x14ac:dyDescent="0.25">
      <c r="B160" s="35" t="s">
        <v>723</v>
      </c>
      <c r="C160" s="35" t="s">
        <v>823</v>
      </c>
      <c r="D160" s="38"/>
    </row>
    <row r="161" spans="2:4" x14ac:dyDescent="0.25">
      <c r="B161" s="37" t="s">
        <v>724</v>
      </c>
      <c r="C161" s="37" t="s">
        <v>763</v>
      </c>
      <c r="D161" s="36"/>
    </row>
    <row r="162" spans="2:4" x14ac:dyDescent="0.25">
      <c r="B162" s="37" t="s">
        <v>725</v>
      </c>
      <c r="C162" s="37" t="s">
        <v>778</v>
      </c>
      <c r="D162" s="36"/>
    </row>
    <row r="163" spans="2:4" x14ac:dyDescent="0.25">
      <c r="B163" s="37" t="s">
        <v>726</v>
      </c>
      <c r="C163" s="37" t="s">
        <v>794</v>
      </c>
      <c r="D163" s="38"/>
    </row>
    <row r="164" spans="2:4" x14ac:dyDescent="0.25">
      <c r="B164" s="37" t="s">
        <v>727</v>
      </c>
      <c r="C164" s="37" t="s">
        <v>800</v>
      </c>
      <c r="D164" s="38"/>
    </row>
    <row r="165" spans="2:4" x14ac:dyDescent="0.25">
      <c r="B165" s="37" t="s">
        <v>728</v>
      </c>
      <c r="C165" s="37" t="s">
        <v>835</v>
      </c>
      <c r="D165" s="36"/>
    </row>
    <row r="166" spans="2:4" x14ac:dyDescent="0.25">
      <c r="B166" s="37" t="s">
        <v>729</v>
      </c>
      <c r="C166" s="37" t="s">
        <v>779</v>
      </c>
      <c r="D166" s="36"/>
    </row>
    <row r="167" spans="2:4" x14ac:dyDescent="0.25">
      <c r="B167" s="37" t="s">
        <v>730</v>
      </c>
      <c r="C167" s="37" t="s">
        <v>795</v>
      </c>
      <c r="D167" s="38"/>
    </row>
    <row r="168" spans="2:4" x14ac:dyDescent="0.25">
      <c r="B168" s="37" t="s">
        <v>731</v>
      </c>
      <c r="C168" s="37" t="s">
        <v>801</v>
      </c>
      <c r="D168" s="38"/>
    </row>
    <row r="169" spans="2:4" x14ac:dyDescent="0.25">
      <c r="B169" s="37" t="s">
        <v>732</v>
      </c>
      <c r="C169" s="37" t="s">
        <v>845</v>
      </c>
      <c r="D169" s="39"/>
    </row>
    <row r="170" spans="2:4" x14ac:dyDescent="0.25">
      <c r="B170" s="37" t="s">
        <v>733</v>
      </c>
      <c r="C170" s="37" t="s">
        <v>824</v>
      </c>
      <c r="D170" s="39"/>
    </row>
    <row r="171" spans="2:4" x14ac:dyDescent="0.25">
      <c r="B171" s="37" t="s">
        <v>734</v>
      </c>
      <c r="C171" s="37" t="s">
        <v>846</v>
      </c>
      <c r="D171" s="39"/>
    </row>
    <row r="172" spans="2:4" x14ac:dyDescent="0.25">
      <c r="B172" s="37" t="s">
        <v>735</v>
      </c>
      <c r="C172" s="37" t="s">
        <v>825</v>
      </c>
      <c r="D172" s="39"/>
    </row>
    <row r="173" spans="2:4" x14ac:dyDescent="0.25">
      <c r="B173" s="37" t="s">
        <v>736</v>
      </c>
      <c r="C173" s="37" t="s">
        <v>847</v>
      </c>
      <c r="D173" s="39"/>
    </row>
    <row r="174" spans="2:4" x14ac:dyDescent="0.25">
      <c r="B174" s="37" t="s">
        <v>737</v>
      </c>
      <c r="C174" s="37" t="s">
        <v>826</v>
      </c>
      <c r="D174" s="39"/>
    </row>
    <row r="175" spans="2:4" x14ac:dyDescent="0.25">
      <c r="B175" s="37" t="s">
        <v>738</v>
      </c>
      <c r="C175" s="37" t="s">
        <v>848</v>
      </c>
      <c r="D175" s="39"/>
    </row>
    <row r="176" spans="2:4" x14ac:dyDescent="0.25">
      <c r="B176" s="37" t="s">
        <v>739</v>
      </c>
      <c r="C176" s="37" t="s">
        <v>827</v>
      </c>
      <c r="D176" s="39"/>
    </row>
    <row r="177" spans="2:4" x14ac:dyDescent="0.25">
      <c r="B177" s="37" t="s">
        <v>740</v>
      </c>
      <c r="C177" s="37" t="s">
        <v>849</v>
      </c>
      <c r="D177" s="39"/>
    </row>
    <row r="178" spans="2:4" x14ac:dyDescent="0.25">
      <c r="B178" s="37" t="s">
        <v>741</v>
      </c>
      <c r="C178" s="37" t="s">
        <v>828</v>
      </c>
      <c r="D178" s="39"/>
    </row>
    <row r="179" spans="2:4" x14ac:dyDescent="0.25">
      <c r="B179" s="37" t="s">
        <v>742</v>
      </c>
      <c r="C179" s="37" t="s">
        <v>850</v>
      </c>
      <c r="D179" s="40"/>
    </row>
    <row r="180" spans="2:4" x14ac:dyDescent="0.25">
      <c r="B180" s="37" t="s">
        <v>743</v>
      </c>
      <c r="C180" s="37" t="s">
        <v>851</v>
      </c>
      <c r="D180" s="39"/>
    </row>
    <row r="181" spans="2:4" x14ac:dyDescent="0.25">
      <c r="B181" s="37" t="s">
        <v>744</v>
      </c>
      <c r="C181" s="37" t="s">
        <v>852</v>
      </c>
      <c r="D181" s="39"/>
    </row>
    <row r="182" spans="2:4" x14ac:dyDescent="0.25">
      <c r="B182" s="37" t="s">
        <v>745</v>
      </c>
      <c r="C182" s="37" t="s">
        <v>853</v>
      </c>
      <c r="D182" s="40"/>
    </row>
    <row r="183" spans="2:4" x14ac:dyDescent="0.25">
      <c r="B183" s="37" t="s">
        <v>746</v>
      </c>
      <c r="C183" s="37" t="s">
        <v>854</v>
      </c>
      <c r="D183" s="39"/>
    </row>
    <row r="184" spans="2:4" x14ac:dyDescent="0.25">
      <c r="B184" s="37" t="s">
        <v>747</v>
      </c>
      <c r="C184" s="37" t="s">
        <v>855</v>
      </c>
      <c r="D184" s="39"/>
    </row>
    <row r="185" spans="2:4" x14ac:dyDescent="0.25">
      <c r="B185" s="33" t="s">
        <v>856</v>
      </c>
      <c r="C185" s="33" t="s">
        <v>858</v>
      </c>
      <c r="D185" s="41"/>
    </row>
    <row r="186" spans="2:4" x14ac:dyDescent="0.25">
      <c r="B186" s="33" t="s">
        <v>857</v>
      </c>
      <c r="C186" s="33" t="s">
        <v>859</v>
      </c>
      <c r="D186" s="4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DEC9-1458-42C8-8ACE-11E79D6DC3C8}">
  <sheetPr codeName="Blad8"/>
  <dimension ref="B2:B36"/>
  <sheetViews>
    <sheetView topLeftCell="A19" workbookViewId="0">
      <selection activeCell="B39" sqref="B39"/>
    </sheetView>
  </sheetViews>
  <sheetFormatPr defaultRowHeight="15" x14ac:dyDescent="0.25"/>
  <cols>
    <col min="2" max="2" width="75.5703125" customWidth="1"/>
  </cols>
  <sheetData>
    <row r="2" spans="2:2" x14ac:dyDescent="0.25">
      <c r="B2" s="13" t="s">
        <v>868</v>
      </c>
    </row>
    <row r="3" spans="2:2" x14ac:dyDescent="0.25">
      <c r="B3" s="13" t="s">
        <v>869</v>
      </c>
    </row>
    <row r="4" spans="2:2" x14ac:dyDescent="0.25">
      <c r="B4" s="13" t="s">
        <v>870</v>
      </c>
    </row>
    <row r="5" spans="2:2" x14ac:dyDescent="0.25">
      <c r="B5" s="13"/>
    </row>
    <row r="6" spans="2:2" x14ac:dyDescent="0.25">
      <c r="B6" s="13" t="s">
        <v>584</v>
      </c>
    </row>
    <row r="7" spans="2:2" x14ac:dyDescent="0.25">
      <c r="B7" s="13" t="s">
        <v>871</v>
      </c>
    </row>
    <row r="8" spans="2:2" x14ac:dyDescent="0.25">
      <c r="B8" s="13"/>
    </row>
    <row r="9" spans="2:2" x14ac:dyDescent="0.25">
      <c r="B9" s="13" t="s">
        <v>872</v>
      </c>
    </row>
    <row r="10" spans="2:2" x14ac:dyDescent="0.25">
      <c r="B10" s="13" t="s">
        <v>585</v>
      </c>
    </row>
    <row r="11" spans="2:2" x14ac:dyDescent="0.25">
      <c r="B11" s="13"/>
    </row>
    <row r="12" spans="2:2" x14ac:dyDescent="0.25">
      <c r="B12" s="13" t="s">
        <v>873</v>
      </c>
    </row>
    <row r="13" spans="2:2" x14ac:dyDescent="0.25">
      <c r="B13" s="13" t="s">
        <v>874</v>
      </c>
    </row>
    <row r="14" spans="2:2" x14ac:dyDescent="0.25">
      <c r="B14" s="13" t="s">
        <v>875</v>
      </c>
    </row>
    <row r="15" spans="2:2" x14ac:dyDescent="0.25">
      <c r="B15" s="13" t="s">
        <v>876</v>
      </c>
    </row>
    <row r="16" spans="2:2" x14ac:dyDescent="0.25">
      <c r="B16" s="13" t="s">
        <v>877</v>
      </c>
    </row>
    <row r="17" spans="2:2" x14ac:dyDescent="0.25">
      <c r="B17" s="13" t="s">
        <v>878</v>
      </c>
    </row>
    <row r="18" spans="2:2" x14ac:dyDescent="0.25">
      <c r="B18" s="13" t="s">
        <v>586</v>
      </c>
    </row>
    <row r="19" spans="2:2" x14ac:dyDescent="0.25">
      <c r="B19" s="13"/>
    </row>
    <row r="20" spans="2:2" x14ac:dyDescent="0.25">
      <c r="B20" s="13" t="s">
        <v>587</v>
      </c>
    </row>
    <row r="21" spans="2:2" x14ac:dyDescent="0.25">
      <c r="B21" s="13" t="s">
        <v>588</v>
      </c>
    </row>
    <row r="22" spans="2:2" x14ac:dyDescent="0.25">
      <c r="B22" s="13"/>
    </row>
    <row r="23" spans="2:2" x14ac:dyDescent="0.25">
      <c r="B23" s="13" t="s">
        <v>623</v>
      </c>
    </row>
    <row r="24" spans="2:2" x14ac:dyDescent="0.25">
      <c r="B24" s="13" t="s">
        <v>589</v>
      </c>
    </row>
    <row r="25" spans="2:2" x14ac:dyDescent="0.25">
      <c r="B25" s="13" t="s">
        <v>879</v>
      </c>
    </row>
    <row r="26" spans="2:2" x14ac:dyDescent="0.25">
      <c r="B26" s="13" t="s">
        <v>590</v>
      </c>
    </row>
    <row r="27" spans="2:2" x14ac:dyDescent="0.25">
      <c r="B27" s="13" t="s">
        <v>881</v>
      </c>
    </row>
    <row r="28" spans="2:2" x14ac:dyDescent="0.25">
      <c r="B28" s="13" t="s">
        <v>602</v>
      </c>
    </row>
    <row r="29" spans="2:2" x14ac:dyDescent="0.25">
      <c r="B29" s="13" t="s">
        <v>880</v>
      </c>
    </row>
    <row r="32" spans="2:2" x14ac:dyDescent="0.25">
      <c r="B32" s="13" t="s">
        <v>691</v>
      </c>
    </row>
    <row r="33" spans="2:2" x14ac:dyDescent="0.25">
      <c r="B33" s="13" t="s">
        <v>1038</v>
      </c>
    </row>
    <row r="34" spans="2:2" x14ac:dyDescent="0.25">
      <c r="B34" s="52" t="s">
        <v>1039</v>
      </c>
    </row>
    <row r="36" spans="2:2" x14ac:dyDescent="0.25">
      <c r="B36" s="13" t="s">
        <v>1043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3876-E46C-4E3A-BBBD-FAC292AAF68D}">
  <sheetPr codeName="Blad10"/>
  <dimension ref="B4:O18"/>
  <sheetViews>
    <sheetView showGridLines="0" workbookViewId="0">
      <selection activeCell="O26" sqref="O26"/>
    </sheetView>
  </sheetViews>
  <sheetFormatPr defaultRowHeight="15" x14ac:dyDescent="0.25"/>
  <sheetData>
    <row r="4" spans="2:15" x14ac:dyDescent="0.25">
      <c r="B4" s="89" t="s">
        <v>1048</v>
      </c>
      <c r="C4" s="90"/>
      <c r="D4" s="90"/>
      <c r="E4" s="91"/>
      <c r="F4" s="8"/>
      <c r="G4" s="89" t="s">
        <v>1048</v>
      </c>
      <c r="H4" s="90"/>
      <c r="I4" s="90"/>
      <c r="J4" s="91"/>
      <c r="K4" s="8"/>
      <c r="L4" s="89" t="s">
        <v>1048</v>
      </c>
      <c r="M4" s="90"/>
      <c r="N4" s="90"/>
      <c r="O4" s="91"/>
    </row>
    <row r="5" spans="2:15" x14ac:dyDescent="0.25">
      <c r="B5" s="78" t="s">
        <v>512</v>
      </c>
      <c r="C5" s="8"/>
      <c r="D5" s="8" t="s">
        <v>513</v>
      </c>
      <c r="E5" s="79" t="s">
        <v>514</v>
      </c>
      <c r="F5" s="8"/>
      <c r="G5" s="78" t="s">
        <v>512</v>
      </c>
      <c r="H5" s="8"/>
      <c r="I5" s="8" t="s">
        <v>513</v>
      </c>
      <c r="J5" s="79" t="s">
        <v>514</v>
      </c>
      <c r="K5" s="8"/>
      <c r="L5" s="78" t="s">
        <v>512</v>
      </c>
      <c r="M5" s="8"/>
      <c r="N5" s="8" t="s">
        <v>513</v>
      </c>
      <c r="O5" s="79" t="s">
        <v>514</v>
      </c>
    </row>
    <row r="6" spans="2:15" x14ac:dyDescent="0.25">
      <c r="B6" s="78"/>
      <c r="C6" s="8"/>
      <c r="D6" s="77">
        <v>2115</v>
      </c>
      <c r="E6" s="77">
        <v>880</v>
      </c>
      <c r="F6" s="8"/>
      <c r="G6" s="78"/>
      <c r="H6" s="8"/>
      <c r="I6" s="8">
        <f>I8-90</f>
        <v>2015</v>
      </c>
      <c r="J6" s="79">
        <f>(J8-10)/2</f>
        <v>830</v>
      </c>
      <c r="K6" s="8"/>
      <c r="L6" s="78"/>
      <c r="M6" s="8"/>
      <c r="N6" s="8">
        <f>N10+5</f>
        <v>2015</v>
      </c>
      <c r="O6" s="79">
        <f>O10+30</f>
        <v>830</v>
      </c>
    </row>
    <row r="7" spans="2:15" x14ac:dyDescent="0.25">
      <c r="B7" s="78" t="s">
        <v>515</v>
      </c>
      <c r="C7" s="8"/>
      <c r="D7" s="8" t="s">
        <v>516</v>
      </c>
      <c r="E7" s="79" t="s">
        <v>514</v>
      </c>
      <c r="F7" s="8"/>
      <c r="G7" s="78" t="s">
        <v>515</v>
      </c>
      <c r="H7" s="8"/>
      <c r="I7" s="8" t="s">
        <v>516</v>
      </c>
      <c r="J7" s="79" t="s">
        <v>514</v>
      </c>
      <c r="K7" s="8"/>
      <c r="L7" s="78" t="s">
        <v>515</v>
      </c>
      <c r="M7" s="8"/>
      <c r="N7" s="8" t="s">
        <v>516</v>
      </c>
      <c r="O7" s="79" t="s">
        <v>514</v>
      </c>
    </row>
    <row r="8" spans="2:15" x14ac:dyDescent="0.25">
      <c r="B8" s="78"/>
      <c r="C8" s="8"/>
      <c r="D8" s="8">
        <f>D6+90</f>
        <v>2205</v>
      </c>
      <c r="E8" s="79">
        <f>(E6*2)+10</f>
        <v>1770</v>
      </c>
      <c r="F8" s="8"/>
      <c r="G8" s="78"/>
      <c r="H8" s="8"/>
      <c r="I8" s="77">
        <v>2105</v>
      </c>
      <c r="J8" s="77">
        <v>1670</v>
      </c>
      <c r="K8" s="8"/>
      <c r="L8" s="78"/>
      <c r="M8" s="8"/>
      <c r="N8" s="8">
        <f>N10+95</f>
        <v>2105</v>
      </c>
      <c r="O8" s="79">
        <f>((O10+30)*2)+10</f>
        <v>1670</v>
      </c>
    </row>
    <row r="9" spans="2:15" x14ac:dyDescent="0.25">
      <c r="B9" s="78" t="s">
        <v>517</v>
      </c>
      <c r="C9" s="8"/>
      <c r="D9" s="8" t="s">
        <v>516</v>
      </c>
      <c r="E9" s="79" t="s">
        <v>514</v>
      </c>
      <c r="F9" s="8"/>
      <c r="G9" s="78" t="s">
        <v>517</v>
      </c>
      <c r="H9" s="8"/>
      <c r="I9" s="8" t="s">
        <v>516</v>
      </c>
      <c r="J9" s="79" t="s">
        <v>514</v>
      </c>
      <c r="K9" s="8"/>
      <c r="L9" s="78" t="s">
        <v>517</v>
      </c>
      <c r="M9" s="8"/>
      <c r="N9" s="8" t="s">
        <v>516</v>
      </c>
      <c r="O9" s="79" t="s">
        <v>514</v>
      </c>
    </row>
    <row r="10" spans="2:15" x14ac:dyDescent="0.25">
      <c r="B10" s="80"/>
      <c r="C10" s="81"/>
      <c r="D10" s="81">
        <f>D6+8-(95-82)</f>
        <v>2110</v>
      </c>
      <c r="E10" s="82">
        <f>E6-30</f>
        <v>850</v>
      </c>
      <c r="F10" s="8"/>
      <c r="G10" s="80"/>
      <c r="H10" s="81"/>
      <c r="I10" s="81">
        <f>I8-95</f>
        <v>2010</v>
      </c>
      <c r="J10" s="82">
        <f>(J8-10)/2-30</f>
        <v>800</v>
      </c>
      <c r="K10" s="8"/>
      <c r="L10" s="80"/>
      <c r="M10" s="81"/>
      <c r="N10" s="77">
        <v>2010</v>
      </c>
      <c r="O10" s="77">
        <v>800</v>
      </c>
    </row>
    <row r="11" spans="2:15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5" x14ac:dyDescent="0.25">
      <c r="B12" s="89" t="s">
        <v>1049</v>
      </c>
      <c r="C12" s="90"/>
      <c r="D12" s="90"/>
      <c r="E12" s="91"/>
      <c r="F12" s="8"/>
      <c r="G12" s="89" t="s">
        <v>1049</v>
      </c>
      <c r="H12" s="90"/>
      <c r="I12" s="90"/>
      <c r="J12" s="91"/>
      <c r="K12" s="8"/>
      <c r="L12" s="89" t="s">
        <v>1049</v>
      </c>
      <c r="M12" s="90"/>
      <c r="N12" s="90"/>
      <c r="O12" s="91"/>
    </row>
    <row r="13" spans="2:15" x14ac:dyDescent="0.25">
      <c r="B13" s="78" t="s">
        <v>512</v>
      </c>
      <c r="C13" s="8"/>
      <c r="D13" s="8" t="s">
        <v>513</v>
      </c>
      <c r="E13" s="79" t="s">
        <v>514</v>
      </c>
      <c r="F13" s="8"/>
      <c r="G13" s="78" t="s">
        <v>512</v>
      </c>
      <c r="H13" s="8"/>
      <c r="I13" s="8" t="s">
        <v>513</v>
      </c>
      <c r="J13" s="79" t="s">
        <v>514</v>
      </c>
      <c r="K13" s="8"/>
      <c r="L13" s="78" t="s">
        <v>512</v>
      </c>
      <c r="M13" s="8"/>
      <c r="N13" s="8" t="s">
        <v>513</v>
      </c>
      <c r="O13" s="79" t="s">
        <v>514</v>
      </c>
    </row>
    <row r="14" spans="2:15" x14ac:dyDescent="0.25">
      <c r="B14" s="78"/>
      <c r="C14" s="8"/>
      <c r="D14" s="77">
        <v>2015</v>
      </c>
      <c r="E14" s="77">
        <v>830</v>
      </c>
      <c r="F14" s="8"/>
      <c r="G14" s="78"/>
      <c r="H14" s="8"/>
      <c r="I14" s="8">
        <f>I16-8-4-58</f>
        <v>2015</v>
      </c>
      <c r="J14" s="79">
        <f>(J16-10)/2</f>
        <v>830</v>
      </c>
      <c r="K14" s="8"/>
      <c r="L14" s="78"/>
      <c r="M14" s="8"/>
      <c r="N14" s="8">
        <f>N18-8-4</f>
        <v>2017</v>
      </c>
      <c r="O14" s="79">
        <f>O18+30</f>
        <v>830</v>
      </c>
    </row>
    <row r="15" spans="2:15" x14ac:dyDescent="0.25">
      <c r="B15" s="78" t="s">
        <v>515</v>
      </c>
      <c r="C15" s="8"/>
      <c r="D15" s="8" t="s">
        <v>516</v>
      </c>
      <c r="E15" s="79" t="s">
        <v>514</v>
      </c>
      <c r="F15" s="8"/>
      <c r="G15" s="78" t="s">
        <v>515</v>
      </c>
      <c r="H15" s="8"/>
      <c r="I15" s="8" t="s">
        <v>516</v>
      </c>
      <c r="J15" s="79" t="s">
        <v>514</v>
      </c>
      <c r="K15" s="8"/>
      <c r="L15" s="78" t="s">
        <v>515</v>
      </c>
      <c r="M15" s="8"/>
      <c r="N15" s="8" t="s">
        <v>516</v>
      </c>
      <c r="O15" s="79" t="s">
        <v>514</v>
      </c>
    </row>
    <row r="16" spans="2:15" x14ac:dyDescent="0.25">
      <c r="B16" s="78"/>
      <c r="C16" s="8"/>
      <c r="D16" s="8">
        <f>D14+70</f>
        <v>2085</v>
      </c>
      <c r="E16" s="79">
        <f>(E14*2)+10</f>
        <v>1670</v>
      </c>
      <c r="F16" s="8"/>
      <c r="G16" s="78"/>
      <c r="H16" s="8"/>
      <c r="I16" s="77">
        <v>2085</v>
      </c>
      <c r="J16" s="77">
        <v>1670</v>
      </c>
      <c r="K16" s="8"/>
      <c r="L16" s="78"/>
      <c r="M16" s="8"/>
      <c r="N16" s="8">
        <f>N18+58</f>
        <v>2087</v>
      </c>
      <c r="O16" s="79">
        <f>((O18+30)*2)+10</f>
        <v>1670</v>
      </c>
    </row>
    <row r="17" spans="2:15" x14ac:dyDescent="0.25">
      <c r="B17" s="78" t="s">
        <v>517</v>
      </c>
      <c r="C17" s="8"/>
      <c r="D17" s="8" t="s">
        <v>516</v>
      </c>
      <c r="E17" s="79" t="s">
        <v>514</v>
      </c>
      <c r="F17" s="8"/>
      <c r="G17" s="78" t="s">
        <v>517</v>
      </c>
      <c r="H17" s="8"/>
      <c r="I17" s="8" t="s">
        <v>516</v>
      </c>
      <c r="J17" s="79" t="s">
        <v>514</v>
      </c>
      <c r="K17" s="8"/>
      <c r="L17" s="78" t="s">
        <v>517</v>
      </c>
      <c r="M17" s="8"/>
      <c r="N17" s="8" t="s">
        <v>516</v>
      </c>
      <c r="O17" s="79" t="s">
        <v>514</v>
      </c>
    </row>
    <row r="18" spans="2:15" x14ac:dyDescent="0.25">
      <c r="B18" s="80"/>
      <c r="C18" s="81"/>
      <c r="D18" s="81">
        <f>D14+8+4</f>
        <v>2027</v>
      </c>
      <c r="E18" s="82">
        <f>E14-30</f>
        <v>800</v>
      </c>
      <c r="F18" s="8"/>
      <c r="G18" s="80"/>
      <c r="H18" s="81"/>
      <c r="I18" s="81">
        <f>I16-58</f>
        <v>2027</v>
      </c>
      <c r="J18" s="82">
        <f>(J16-10)/2-30</f>
        <v>800</v>
      </c>
      <c r="K18" s="8"/>
      <c r="L18" s="80"/>
      <c r="M18" s="81"/>
      <c r="N18" s="77">
        <v>2029</v>
      </c>
      <c r="O18" s="77">
        <v>800</v>
      </c>
    </row>
  </sheetData>
  <sheetProtection algorithmName="SHA-512" hashValue="Z44Mc1darEp5PDZL+xXoeMAdehGMIl8SWnGe1QC6WMQz1IN395X4bSbJda6dt1CK0SCOjQQlI9kSexgBDOADKg==" saltValue="DCrbDFHz+O1wAc/gmKtKqw==" spinCount="100000" sheet="1" objects="1" scenarios="1"/>
  <mergeCells count="6">
    <mergeCell ref="B4:E4"/>
    <mergeCell ref="G4:J4"/>
    <mergeCell ref="L4:O4"/>
    <mergeCell ref="B12:E12"/>
    <mergeCell ref="G12:J12"/>
    <mergeCell ref="L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1B2E-549C-44E3-BA16-1650A6E7D7F8}">
  <sheetPr codeName="Blad11"/>
  <dimension ref="B2:V49"/>
  <sheetViews>
    <sheetView showGridLines="0" workbookViewId="0">
      <selection activeCell="Q25" sqref="Q25"/>
    </sheetView>
  </sheetViews>
  <sheetFormatPr defaultRowHeight="15" x14ac:dyDescent="0.25"/>
  <sheetData>
    <row r="2" spans="2:22" x14ac:dyDescent="0.25">
      <c r="B2" s="83" t="s">
        <v>618</v>
      </c>
      <c r="C2" s="83"/>
      <c r="J2" s="83" t="s">
        <v>619</v>
      </c>
      <c r="K2" s="83"/>
      <c r="R2" s="83" t="s">
        <v>620</v>
      </c>
      <c r="V2" s="83" t="s">
        <v>608</v>
      </c>
    </row>
    <row r="4" spans="2:22" x14ac:dyDescent="0.25">
      <c r="B4" s="84" t="s">
        <v>609</v>
      </c>
      <c r="J4" s="84" t="s">
        <v>663</v>
      </c>
      <c r="R4" s="84" t="s">
        <v>610</v>
      </c>
      <c r="V4" s="84" t="s">
        <v>609</v>
      </c>
    </row>
    <row r="10" spans="2:22" x14ac:dyDescent="0.25">
      <c r="V10" s="84" t="s">
        <v>612</v>
      </c>
    </row>
    <row r="11" spans="2:22" x14ac:dyDescent="0.25">
      <c r="B11" s="84" t="s">
        <v>611</v>
      </c>
      <c r="J11" s="84" t="s">
        <v>613</v>
      </c>
    </row>
    <row r="15" spans="2:22" x14ac:dyDescent="0.25">
      <c r="R15" s="84" t="s">
        <v>614</v>
      </c>
    </row>
    <row r="16" spans="2:22" x14ac:dyDescent="0.25">
      <c r="V16" s="84" t="s">
        <v>615</v>
      </c>
    </row>
    <row r="18" spans="2:22" x14ac:dyDescent="0.25">
      <c r="B18" s="84" t="s">
        <v>616</v>
      </c>
    </row>
    <row r="22" spans="2:22" x14ac:dyDescent="0.25">
      <c r="V22" s="84" t="s">
        <v>621</v>
      </c>
    </row>
    <row r="26" spans="2:22" x14ac:dyDescent="0.25">
      <c r="B26" s="84" t="s">
        <v>696</v>
      </c>
    </row>
    <row r="27" spans="2:22" x14ac:dyDescent="0.25">
      <c r="V27" s="84" t="s">
        <v>622</v>
      </c>
    </row>
    <row r="28" spans="2:22" x14ac:dyDescent="0.25">
      <c r="J28" s="87" t="s">
        <v>1037</v>
      </c>
      <c r="K28" s="87"/>
      <c r="L28" s="87"/>
      <c r="M28" s="87"/>
    </row>
    <row r="34" spans="10:22" x14ac:dyDescent="0.25">
      <c r="V34" s="84" t="s">
        <v>617</v>
      </c>
    </row>
    <row r="42" spans="10:22" x14ac:dyDescent="0.25">
      <c r="J42" s="92" t="s">
        <v>860</v>
      </c>
      <c r="K42" s="92"/>
      <c r="L42" s="92" t="s">
        <v>861</v>
      </c>
      <c r="M42" s="92"/>
    </row>
    <row r="43" spans="10:22" x14ac:dyDescent="0.25">
      <c r="J43" s="93" t="s">
        <v>862</v>
      </c>
      <c r="K43" s="93"/>
      <c r="L43" s="93" t="s">
        <v>863</v>
      </c>
      <c r="M43" s="93"/>
    </row>
    <row r="44" spans="10:22" x14ac:dyDescent="0.25">
      <c r="J44" s="94">
        <v>830</v>
      </c>
      <c r="K44" s="94"/>
      <c r="L44" s="94">
        <v>2315</v>
      </c>
      <c r="M44" s="94"/>
    </row>
    <row r="45" spans="10:22" x14ac:dyDescent="0.25">
      <c r="J45" s="92" t="str">
        <f>IF(L48&gt;M48,"Removable track","Non removable track")</f>
        <v>Removable track</v>
      </c>
      <c r="K45" s="92"/>
      <c r="L45" s="92"/>
      <c r="M45" s="92"/>
    </row>
    <row r="47" spans="10:22" x14ac:dyDescent="0.25">
      <c r="J47" s="12" t="s">
        <v>864</v>
      </c>
      <c r="K47" s="12" t="s">
        <v>865</v>
      </c>
      <c r="L47" s="12" t="s">
        <v>866</v>
      </c>
      <c r="M47" s="12"/>
    </row>
    <row r="48" spans="10:22" x14ac:dyDescent="0.25">
      <c r="J48" s="12">
        <f>(J44*J44)/1000000</f>
        <v>0.68889999999999996</v>
      </c>
      <c r="K48" s="43">
        <f>(L44*L44)/1000000</f>
        <v>5.3592250000000003</v>
      </c>
      <c r="L48" s="43">
        <f>SQRT(J48+K48)</f>
        <v>2.4592935977633905</v>
      </c>
      <c r="M48" s="12">
        <f>(J44*2)/1000</f>
        <v>1.66</v>
      </c>
    </row>
    <row r="49" spans="10:13" x14ac:dyDescent="0.25">
      <c r="J49" s="12"/>
      <c r="K49" s="12"/>
      <c r="L49" s="12"/>
      <c r="M49" s="12"/>
    </row>
  </sheetData>
  <sheetProtection algorithmName="SHA-512" hashValue="wxieOMEG7ZBHl6UcI9AejO+1Uj4dCjit7S9FzlFzdAIRpEiDDpwqNgx8MMEJapDFOyc1w0O0RrRgzKIGbmCS5Q==" saltValue="ry8pnAOEk7fNRr74zhLj+Q==" spinCount="100000" sheet="1" objects="1" scenarios="1"/>
  <mergeCells count="8">
    <mergeCell ref="J28:M28"/>
    <mergeCell ref="J45:M45"/>
    <mergeCell ref="J42:K42"/>
    <mergeCell ref="L42:M42"/>
    <mergeCell ref="J43:K43"/>
    <mergeCell ref="L43:M43"/>
    <mergeCell ref="J44:K44"/>
    <mergeCell ref="L44:M44"/>
  </mergeCells>
  <conditionalFormatting sqref="J45:M45">
    <cfRule type="expression" dxfId="1" priority="1">
      <formula>IF($J$45="Removable track","waar","niet waar")</formula>
    </cfRule>
    <cfRule type="expression" dxfId="0" priority="2">
      <formula>IF($J$45="Non removable track","waar","niet waar")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AD3-1F63-4601-A9D9-FC8704AF06BD}">
  <sheetPr codeName="Blad2"/>
  <dimension ref="B1:D176"/>
  <sheetViews>
    <sheetView workbookViewId="0">
      <selection activeCell="C163" sqref="C163"/>
    </sheetView>
  </sheetViews>
  <sheetFormatPr defaultRowHeight="15" x14ac:dyDescent="0.25"/>
  <cols>
    <col min="2" max="2" width="22.42578125" customWidth="1"/>
    <col min="3" max="3" width="80" customWidth="1"/>
    <col min="4" max="4" width="11.28515625" customWidth="1"/>
  </cols>
  <sheetData>
    <row r="1" spans="2:4" x14ac:dyDescent="0.25">
      <c r="B1" s="3" t="s">
        <v>126</v>
      </c>
      <c r="C1" s="3" t="s">
        <v>302</v>
      </c>
      <c r="D1" s="4">
        <v>758.54</v>
      </c>
    </row>
    <row r="2" spans="2:4" x14ac:dyDescent="0.25">
      <c r="B2" s="3" t="s">
        <v>127</v>
      </c>
      <c r="C2" s="3" t="s">
        <v>303</v>
      </c>
      <c r="D2" s="4">
        <v>758.54</v>
      </c>
    </row>
    <row r="3" spans="2:4" x14ac:dyDescent="0.25">
      <c r="B3" s="3" t="s">
        <v>128</v>
      </c>
      <c r="C3" s="3" t="s">
        <v>304</v>
      </c>
      <c r="D3" s="4">
        <v>758.54</v>
      </c>
    </row>
    <row r="4" spans="2:4" x14ac:dyDescent="0.25">
      <c r="B4" s="3" t="s">
        <v>129</v>
      </c>
      <c r="C4" s="3" t="s">
        <v>305</v>
      </c>
      <c r="D4" s="4">
        <v>758.54</v>
      </c>
    </row>
    <row r="5" spans="2:4" x14ac:dyDescent="0.25">
      <c r="B5" s="3" t="s">
        <v>130</v>
      </c>
      <c r="C5" s="3" t="s">
        <v>306</v>
      </c>
      <c r="D5" s="4">
        <v>933.59</v>
      </c>
    </row>
    <row r="6" spans="2:4" x14ac:dyDescent="0.25">
      <c r="B6" s="3" t="s">
        <v>131</v>
      </c>
      <c r="C6" s="3" t="s">
        <v>307</v>
      </c>
      <c r="D6" s="4">
        <v>933.59</v>
      </c>
    </row>
    <row r="7" spans="2:4" x14ac:dyDescent="0.25">
      <c r="B7" s="3" t="s">
        <v>132</v>
      </c>
      <c r="C7" s="3" t="s">
        <v>308</v>
      </c>
      <c r="D7" s="4">
        <v>1060.9000000000001</v>
      </c>
    </row>
    <row r="8" spans="2:4" x14ac:dyDescent="0.25">
      <c r="B8" s="3" t="s">
        <v>133</v>
      </c>
      <c r="C8" s="3" t="s">
        <v>309</v>
      </c>
      <c r="D8" s="4">
        <v>1060.9000000000001</v>
      </c>
    </row>
    <row r="9" spans="2:4" x14ac:dyDescent="0.25">
      <c r="B9" s="3" t="s">
        <v>134</v>
      </c>
      <c r="C9" s="3" t="s">
        <v>310</v>
      </c>
      <c r="D9" s="4">
        <v>1060.9000000000001</v>
      </c>
    </row>
    <row r="10" spans="2:4" x14ac:dyDescent="0.25">
      <c r="B10" s="3" t="s">
        <v>135</v>
      </c>
      <c r="C10" s="3" t="s">
        <v>311</v>
      </c>
      <c r="D10" s="4">
        <v>1060.9000000000001</v>
      </c>
    </row>
    <row r="11" spans="2:4" x14ac:dyDescent="0.25">
      <c r="B11" s="3" t="s">
        <v>136</v>
      </c>
      <c r="C11" s="3" t="s">
        <v>312</v>
      </c>
      <c r="D11" s="4">
        <v>1363.26</v>
      </c>
    </row>
    <row r="12" spans="2:4" x14ac:dyDescent="0.25">
      <c r="B12" s="3" t="s">
        <v>137</v>
      </c>
      <c r="C12" s="3" t="s">
        <v>313</v>
      </c>
      <c r="D12" s="4">
        <v>1363.26</v>
      </c>
    </row>
    <row r="13" spans="2:4" x14ac:dyDescent="0.25">
      <c r="B13" s="3" t="s">
        <v>138</v>
      </c>
      <c r="C13" s="3" t="s">
        <v>314</v>
      </c>
      <c r="D13" s="4">
        <v>1363.26</v>
      </c>
    </row>
    <row r="14" spans="2:4" x14ac:dyDescent="0.25">
      <c r="B14" s="3" t="s">
        <v>139</v>
      </c>
      <c r="C14" s="3" t="s">
        <v>315</v>
      </c>
      <c r="D14" s="4">
        <v>1363.26</v>
      </c>
    </row>
    <row r="15" spans="2:4" x14ac:dyDescent="0.25">
      <c r="B15" s="3" t="s">
        <v>140</v>
      </c>
      <c r="C15" s="3" t="s">
        <v>316</v>
      </c>
      <c r="D15" s="4">
        <v>1363.26</v>
      </c>
    </row>
    <row r="16" spans="2:4" x14ac:dyDescent="0.25">
      <c r="B16" s="3" t="s">
        <v>141</v>
      </c>
      <c r="C16" s="3" t="s">
        <v>317</v>
      </c>
      <c r="D16" s="4">
        <v>1363.26</v>
      </c>
    </row>
    <row r="17" spans="2:4" x14ac:dyDescent="0.25">
      <c r="B17" s="3" t="s">
        <v>142</v>
      </c>
      <c r="C17" s="3" t="s">
        <v>318</v>
      </c>
      <c r="D17" s="4">
        <v>758.54</v>
      </c>
    </row>
    <row r="18" spans="2:4" x14ac:dyDescent="0.25">
      <c r="B18" s="3" t="s">
        <v>143</v>
      </c>
      <c r="C18" s="3" t="s">
        <v>319</v>
      </c>
      <c r="D18" s="4">
        <v>758.54</v>
      </c>
    </row>
    <row r="19" spans="2:4" x14ac:dyDescent="0.25">
      <c r="B19" s="3" t="s">
        <v>144</v>
      </c>
      <c r="C19" s="3" t="s">
        <v>320</v>
      </c>
      <c r="D19" s="4">
        <v>758.54</v>
      </c>
    </row>
    <row r="20" spans="2:4" x14ac:dyDescent="0.25">
      <c r="B20" s="3" t="s">
        <v>145</v>
      </c>
      <c r="C20" s="3" t="s">
        <v>321</v>
      </c>
      <c r="D20" s="4">
        <v>758.54</v>
      </c>
    </row>
    <row r="21" spans="2:4" x14ac:dyDescent="0.25">
      <c r="B21" s="3" t="s">
        <v>146</v>
      </c>
      <c r="C21" s="3" t="s">
        <v>322</v>
      </c>
      <c r="D21" s="4">
        <v>933.59</v>
      </c>
    </row>
    <row r="22" spans="2:4" x14ac:dyDescent="0.25">
      <c r="B22" s="3" t="s">
        <v>147</v>
      </c>
      <c r="C22" s="3" t="s">
        <v>323</v>
      </c>
      <c r="D22" s="4">
        <v>933.59</v>
      </c>
    </row>
    <row r="23" spans="2:4" x14ac:dyDescent="0.25">
      <c r="B23" s="3" t="s">
        <v>148</v>
      </c>
      <c r="C23" s="3" t="s">
        <v>324</v>
      </c>
      <c r="D23" s="4">
        <v>1060.9000000000001</v>
      </c>
    </row>
    <row r="24" spans="2:4" x14ac:dyDescent="0.25">
      <c r="B24" s="3" t="s">
        <v>149</v>
      </c>
      <c r="C24" s="3" t="s">
        <v>325</v>
      </c>
      <c r="D24" s="4">
        <v>1060.9000000000001</v>
      </c>
    </row>
    <row r="25" spans="2:4" x14ac:dyDescent="0.25">
      <c r="B25" s="3" t="s">
        <v>150</v>
      </c>
      <c r="C25" s="3" t="s">
        <v>326</v>
      </c>
      <c r="D25" s="4">
        <v>1060.9000000000001</v>
      </c>
    </row>
    <row r="26" spans="2:4" x14ac:dyDescent="0.25">
      <c r="B26" s="3" t="s">
        <v>151</v>
      </c>
      <c r="C26" s="3" t="s">
        <v>327</v>
      </c>
      <c r="D26" s="4">
        <v>1060.9000000000001</v>
      </c>
    </row>
    <row r="27" spans="2:4" x14ac:dyDescent="0.25">
      <c r="B27" s="3" t="s">
        <v>152</v>
      </c>
      <c r="C27" s="3" t="s">
        <v>328</v>
      </c>
      <c r="D27" s="4">
        <v>1363.26</v>
      </c>
    </row>
    <row r="28" spans="2:4" x14ac:dyDescent="0.25">
      <c r="B28" s="3" t="s">
        <v>153</v>
      </c>
      <c r="C28" s="3" t="s">
        <v>329</v>
      </c>
      <c r="D28" s="4">
        <v>1363.26</v>
      </c>
    </row>
    <row r="29" spans="2:4" x14ac:dyDescent="0.25">
      <c r="B29" s="3" t="s">
        <v>154</v>
      </c>
      <c r="C29" s="3" t="s">
        <v>330</v>
      </c>
      <c r="D29" s="4">
        <v>1363.26</v>
      </c>
    </row>
    <row r="30" spans="2:4" x14ac:dyDescent="0.25">
      <c r="B30" s="3" t="s">
        <v>155</v>
      </c>
      <c r="C30" s="3" t="s">
        <v>331</v>
      </c>
      <c r="D30" s="4">
        <v>1363.26</v>
      </c>
    </row>
    <row r="31" spans="2:4" x14ac:dyDescent="0.25">
      <c r="B31" s="3" t="s">
        <v>156</v>
      </c>
      <c r="C31" s="3" t="s">
        <v>332</v>
      </c>
      <c r="D31" s="4">
        <v>1363.26</v>
      </c>
    </row>
    <row r="32" spans="2:4" x14ac:dyDescent="0.25">
      <c r="B32" s="3" t="s">
        <v>157</v>
      </c>
      <c r="C32" s="3" t="s">
        <v>333</v>
      </c>
      <c r="D32" s="4">
        <v>1363.26</v>
      </c>
    </row>
    <row r="33" spans="2:4" x14ac:dyDescent="0.25">
      <c r="B33" s="3" t="s">
        <v>158</v>
      </c>
      <c r="C33" s="3" t="s">
        <v>334</v>
      </c>
      <c r="D33" s="4">
        <v>779.76</v>
      </c>
    </row>
    <row r="34" spans="2:4" x14ac:dyDescent="0.25">
      <c r="B34" s="3" t="s">
        <v>159</v>
      </c>
      <c r="C34" s="3" t="s">
        <v>335</v>
      </c>
      <c r="D34" s="4">
        <v>779.76</v>
      </c>
    </row>
    <row r="35" spans="2:4" x14ac:dyDescent="0.25">
      <c r="B35" s="3" t="s">
        <v>160</v>
      </c>
      <c r="C35" s="3" t="s">
        <v>336</v>
      </c>
      <c r="D35" s="4">
        <v>779.76</v>
      </c>
    </row>
    <row r="36" spans="2:4" x14ac:dyDescent="0.25">
      <c r="B36" s="3" t="s">
        <v>161</v>
      </c>
      <c r="C36" s="3" t="s">
        <v>337</v>
      </c>
      <c r="D36" s="4">
        <v>779.76</v>
      </c>
    </row>
    <row r="37" spans="2:4" x14ac:dyDescent="0.25">
      <c r="B37" s="3" t="s">
        <v>162</v>
      </c>
      <c r="C37" s="3" t="s">
        <v>338</v>
      </c>
      <c r="D37" s="4">
        <v>965.42</v>
      </c>
    </row>
    <row r="38" spans="2:4" x14ac:dyDescent="0.25">
      <c r="B38" s="3" t="s">
        <v>163</v>
      </c>
      <c r="C38" s="3" t="s">
        <v>339</v>
      </c>
      <c r="D38" s="4">
        <v>965.42</v>
      </c>
    </row>
    <row r="39" spans="2:4" x14ac:dyDescent="0.25">
      <c r="B39" s="3" t="s">
        <v>164</v>
      </c>
      <c r="C39" s="3" t="s">
        <v>340</v>
      </c>
      <c r="D39" s="4">
        <v>1124.55</v>
      </c>
    </row>
    <row r="40" spans="2:4" x14ac:dyDescent="0.25">
      <c r="B40" s="3" t="s">
        <v>165</v>
      </c>
      <c r="C40" s="3" t="s">
        <v>341</v>
      </c>
      <c r="D40" s="4">
        <v>1124.55</v>
      </c>
    </row>
    <row r="41" spans="2:4" x14ac:dyDescent="0.25">
      <c r="B41" s="3" t="s">
        <v>166</v>
      </c>
      <c r="C41" s="3" t="s">
        <v>342</v>
      </c>
      <c r="D41" s="4">
        <v>1124.55</v>
      </c>
    </row>
    <row r="42" spans="2:4" x14ac:dyDescent="0.25">
      <c r="B42" s="3" t="s">
        <v>167</v>
      </c>
      <c r="C42" s="3" t="s">
        <v>343</v>
      </c>
      <c r="D42" s="4">
        <v>1124.55</v>
      </c>
    </row>
    <row r="43" spans="2:4" x14ac:dyDescent="0.25">
      <c r="B43" s="3" t="s">
        <v>168</v>
      </c>
      <c r="C43" s="3" t="s">
        <v>344</v>
      </c>
      <c r="D43" s="4">
        <v>1437.52</v>
      </c>
    </row>
    <row r="44" spans="2:4" x14ac:dyDescent="0.25">
      <c r="B44" s="3" t="s">
        <v>169</v>
      </c>
      <c r="C44" s="3" t="s">
        <v>345</v>
      </c>
      <c r="D44" s="4">
        <v>1437.52</v>
      </c>
    </row>
    <row r="45" spans="2:4" x14ac:dyDescent="0.25">
      <c r="B45" s="3" t="s">
        <v>170</v>
      </c>
      <c r="C45" s="3" t="s">
        <v>346</v>
      </c>
      <c r="D45" s="4">
        <v>1437.52</v>
      </c>
    </row>
    <row r="46" spans="2:4" x14ac:dyDescent="0.25">
      <c r="B46" s="3" t="s">
        <v>171</v>
      </c>
      <c r="C46" s="3" t="s">
        <v>347</v>
      </c>
      <c r="D46" s="4">
        <v>1437.52</v>
      </c>
    </row>
    <row r="47" spans="2:4" x14ac:dyDescent="0.25">
      <c r="B47" s="3" t="s">
        <v>172</v>
      </c>
      <c r="C47" s="3" t="s">
        <v>348</v>
      </c>
      <c r="D47" s="4">
        <v>1437.52</v>
      </c>
    </row>
    <row r="48" spans="2:4" x14ac:dyDescent="0.25">
      <c r="B48" s="3" t="s">
        <v>173</v>
      </c>
      <c r="C48" s="3" t="s">
        <v>349</v>
      </c>
      <c r="D48" s="4">
        <v>1437.52</v>
      </c>
    </row>
    <row r="49" spans="2:4" x14ac:dyDescent="0.25">
      <c r="B49" s="3" t="s">
        <v>174</v>
      </c>
      <c r="C49" s="3" t="s">
        <v>350</v>
      </c>
      <c r="D49" s="4">
        <v>960.11</v>
      </c>
    </row>
    <row r="50" spans="2:4" x14ac:dyDescent="0.25">
      <c r="B50" s="3" t="s">
        <v>175</v>
      </c>
      <c r="C50" s="3" t="s">
        <v>351</v>
      </c>
      <c r="D50" s="4">
        <v>960.11</v>
      </c>
    </row>
    <row r="51" spans="2:4" x14ac:dyDescent="0.25">
      <c r="B51" s="3" t="s">
        <v>176</v>
      </c>
      <c r="C51" s="3" t="s">
        <v>352</v>
      </c>
      <c r="D51" s="4">
        <v>960.11</v>
      </c>
    </row>
    <row r="52" spans="2:4" x14ac:dyDescent="0.25">
      <c r="B52" s="3" t="s">
        <v>177</v>
      </c>
      <c r="C52" s="3" t="s">
        <v>353</v>
      </c>
      <c r="D52" s="4">
        <v>960.11</v>
      </c>
    </row>
    <row r="53" spans="2:4" x14ac:dyDescent="0.25">
      <c r="B53" s="3" t="s">
        <v>178</v>
      </c>
      <c r="C53" s="3" t="s">
        <v>354</v>
      </c>
      <c r="D53" s="4">
        <v>1336.73</v>
      </c>
    </row>
    <row r="54" spans="2:4" x14ac:dyDescent="0.25">
      <c r="B54" s="3" t="s">
        <v>179</v>
      </c>
      <c r="C54" s="3" t="s">
        <v>355</v>
      </c>
      <c r="D54" s="4">
        <v>1336.73</v>
      </c>
    </row>
    <row r="55" spans="2:4" x14ac:dyDescent="0.25">
      <c r="B55" s="3" t="s">
        <v>180</v>
      </c>
      <c r="C55" s="3" t="s">
        <v>356</v>
      </c>
      <c r="D55" s="4">
        <v>1336.73</v>
      </c>
    </row>
    <row r="56" spans="2:4" x14ac:dyDescent="0.25">
      <c r="B56" s="3" t="s">
        <v>181</v>
      </c>
      <c r="C56" s="3" t="s">
        <v>357</v>
      </c>
      <c r="D56" s="4">
        <v>1336.73</v>
      </c>
    </row>
    <row r="57" spans="2:4" x14ac:dyDescent="0.25">
      <c r="B57" s="3" t="s">
        <v>182</v>
      </c>
      <c r="C57" s="3" t="s">
        <v>358</v>
      </c>
      <c r="D57" s="4">
        <v>1336.73</v>
      </c>
    </row>
    <row r="58" spans="2:4" x14ac:dyDescent="0.25">
      <c r="B58" s="3" t="s">
        <v>183</v>
      </c>
      <c r="C58" s="3" t="s">
        <v>359</v>
      </c>
      <c r="D58" s="4">
        <v>1336.73</v>
      </c>
    </row>
    <row r="59" spans="2:4" x14ac:dyDescent="0.25">
      <c r="B59" s="3" t="s">
        <v>184</v>
      </c>
      <c r="C59" s="3" t="s">
        <v>360</v>
      </c>
      <c r="D59" s="4">
        <v>1713.35</v>
      </c>
    </row>
    <row r="60" spans="2:4" x14ac:dyDescent="0.25">
      <c r="B60" s="3" t="s">
        <v>185</v>
      </c>
      <c r="C60" s="3" t="s">
        <v>361</v>
      </c>
      <c r="D60" s="4">
        <v>1713.35</v>
      </c>
    </row>
    <row r="61" spans="2:4" x14ac:dyDescent="0.25">
      <c r="B61" s="3" t="s">
        <v>186</v>
      </c>
      <c r="C61" s="3" t="s">
        <v>362</v>
      </c>
      <c r="D61" s="4">
        <v>1713.35</v>
      </c>
    </row>
    <row r="62" spans="2:4" x14ac:dyDescent="0.25">
      <c r="B62" s="3" t="s">
        <v>187</v>
      </c>
      <c r="C62" s="3" t="s">
        <v>363</v>
      </c>
      <c r="D62" s="4">
        <v>1713.35</v>
      </c>
    </row>
    <row r="63" spans="2:4" x14ac:dyDescent="0.25">
      <c r="B63" s="3" t="s">
        <v>188</v>
      </c>
      <c r="C63" s="3" t="s">
        <v>364</v>
      </c>
      <c r="D63" s="4">
        <v>1713.35</v>
      </c>
    </row>
    <row r="64" spans="2:4" x14ac:dyDescent="0.25">
      <c r="B64" s="3" t="s">
        <v>189</v>
      </c>
      <c r="C64" s="3" t="s">
        <v>365</v>
      </c>
      <c r="D64" s="4">
        <v>1713.35</v>
      </c>
    </row>
    <row r="65" spans="2:4" x14ac:dyDescent="0.25">
      <c r="B65" s="3" t="s">
        <v>190</v>
      </c>
      <c r="C65" s="3" t="s">
        <v>366</v>
      </c>
      <c r="D65" s="4">
        <v>997.25</v>
      </c>
    </row>
    <row r="66" spans="2:4" x14ac:dyDescent="0.25">
      <c r="B66" s="3" t="s">
        <v>191</v>
      </c>
      <c r="C66" s="3" t="s">
        <v>367</v>
      </c>
      <c r="D66" s="4">
        <v>997.25</v>
      </c>
    </row>
    <row r="67" spans="2:4" x14ac:dyDescent="0.25">
      <c r="B67" s="3" t="s">
        <v>192</v>
      </c>
      <c r="C67" s="3" t="s">
        <v>368</v>
      </c>
      <c r="D67" s="4">
        <v>997.25</v>
      </c>
    </row>
    <row r="68" spans="2:4" x14ac:dyDescent="0.25">
      <c r="B68" s="3" t="s">
        <v>193</v>
      </c>
      <c r="C68" s="3" t="s">
        <v>369</v>
      </c>
      <c r="D68" s="4">
        <v>997.25</v>
      </c>
    </row>
    <row r="69" spans="2:4" x14ac:dyDescent="0.25">
      <c r="B69" s="3" t="s">
        <v>194</v>
      </c>
      <c r="C69" s="3" t="s">
        <v>370</v>
      </c>
      <c r="D69" s="4">
        <v>1262.47</v>
      </c>
    </row>
    <row r="70" spans="2:4" x14ac:dyDescent="0.25">
      <c r="B70" s="3" t="s">
        <v>195</v>
      </c>
      <c r="C70" s="3" t="s">
        <v>371</v>
      </c>
      <c r="D70" s="4">
        <v>1262.47</v>
      </c>
    </row>
    <row r="71" spans="2:4" x14ac:dyDescent="0.25">
      <c r="B71" s="3" t="s">
        <v>196</v>
      </c>
      <c r="C71" s="3" t="s">
        <v>372</v>
      </c>
      <c r="D71" s="4">
        <v>1389.78</v>
      </c>
    </row>
    <row r="72" spans="2:4" x14ac:dyDescent="0.25">
      <c r="B72" s="3" t="s">
        <v>197</v>
      </c>
      <c r="C72" s="3" t="s">
        <v>373</v>
      </c>
      <c r="D72" s="4">
        <v>1389.78</v>
      </c>
    </row>
    <row r="73" spans="2:4" x14ac:dyDescent="0.25">
      <c r="B73" s="3" t="s">
        <v>198</v>
      </c>
      <c r="C73" s="3" t="s">
        <v>374</v>
      </c>
      <c r="D73" s="4">
        <v>1389.78</v>
      </c>
    </row>
    <row r="74" spans="2:4" x14ac:dyDescent="0.25">
      <c r="B74" s="3" t="s">
        <v>199</v>
      </c>
      <c r="C74" s="3" t="s">
        <v>375</v>
      </c>
      <c r="D74" s="4">
        <v>1389.78</v>
      </c>
    </row>
    <row r="75" spans="2:4" x14ac:dyDescent="0.25">
      <c r="B75" s="3" t="s">
        <v>200</v>
      </c>
      <c r="C75" s="3" t="s">
        <v>376</v>
      </c>
      <c r="D75" s="4">
        <v>1782.31</v>
      </c>
    </row>
    <row r="76" spans="2:4" x14ac:dyDescent="0.25">
      <c r="B76" s="3" t="s">
        <v>201</v>
      </c>
      <c r="C76" s="3" t="s">
        <v>377</v>
      </c>
      <c r="D76" s="4">
        <v>1782.31</v>
      </c>
    </row>
    <row r="77" spans="2:4" x14ac:dyDescent="0.25">
      <c r="B77" s="3" t="s">
        <v>202</v>
      </c>
      <c r="C77" s="3" t="s">
        <v>378</v>
      </c>
      <c r="D77" s="4">
        <v>1782.31</v>
      </c>
    </row>
    <row r="78" spans="2:4" x14ac:dyDescent="0.25">
      <c r="B78" s="3" t="s">
        <v>203</v>
      </c>
      <c r="C78" s="3" t="s">
        <v>379</v>
      </c>
      <c r="D78" s="4">
        <v>1782.31</v>
      </c>
    </row>
    <row r="79" spans="2:4" x14ac:dyDescent="0.25">
      <c r="B79" s="3" t="s">
        <v>204</v>
      </c>
      <c r="C79" s="3" t="s">
        <v>380</v>
      </c>
      <c r="D79" s="4">
        <v>1782.31</v>
      </c>
    </row>
    <row r="80" spans="2:4" x14ac:dyDescent="0.25">
      <c r="B80" s="3" t="s">
        <v>205</v>
      </c>
      <c r="C80" s="3" t="s">
        <v>381</v>
      </c>
      <c r="D80" s="4">
        <v>1782.31</v>
      </c>
    </row>
    <row r="81" spans="2:4" x14ac:dyDescent="0.25">
      <c r="B81" s="3" t="s">
        <v>206</v>
      </c>
      <c r="C81" s="3" t="s">
        <v>302</v>
      </c>
      <c r="D81" s="4">
        <v>790.37</v>
      </c>
    </row>
    <row r="82" spans="2:4" x14ac:dyDescent="0.25">
      <c r="B82" s="3" t="s">
        <v>207</v>
      </c>
      <c r="C82" s="3" t="s">
        <v>303</v>
      </c>
      <c r="D82" s="4">
        <v>790.37</v>
      </c>
    </row>
    <row r="83" spans="2:4" x14ac:dyDescent="0.25">
      <c r="B83" s="3" t="s">
        <v>208</v>
      </c>
      <c r="C83" s="3" t="s">
        <v>304</v>
      </c>
      <c r="D83" s="4">
        <v>790.37</v>
      </c>
    </row>
    <row r="84" spans="2:4" x14ac:dyDescent="0.25">
      <c r="B84" s="3" t="s">
        <v>209</v>
      </c>
      <c r="C84" s="3" t="s">
        <v>305</v>
      </c>
      <c r="D84" s="4">
        <v>790.37</v>
      </c>
    </row>
    <row r="85" spans="2:4" x14ac:dyDescent="0.25">
      <c r="B85" s="3" t="s">
        <v>210</v>
      </c>
      <c r="C85" s="3" t="s">
        <v>306</v>
      </c>
      <c r="D85" s="4">
        <v>976.03</v>
      </c>
    </row>
    <row r="86" spans="2:4" x14ac:dyDescent="0.25">
      <c r="B86" s="3" t="s">
        <v>211</v>
      </c>
      <c r="C86" s="3" t="s">
        <v>307</v>
      </c>
      <c r="D86" s="4">
        <v>976.03</v>
      </c>
    </row>
    <row r="87" spans="2:4" x14ac:dyDescent="0.25">
      <c r="B87" s="3" t="s">
        <v>212</v>
      </c>
      <c r="C87" s="3" t="s">
        <v>308</v>
      </c>
      <c r="D87" s="4">
        <v>1103.3399999999999</v>
      </c>
    </row>
    <row r="88" spans="2:4" x14ac:dyDescent="0.25">
      <c r="B88" s="3" t="s">
        <v>213</v>
      </c>
      <c r="C88" s="3" t="s">
        <v>309</v>
      </c>
      <c r="D88" s="4">
        <v>1103.3399999999999</v>
      </c>
    </row>
    <row r="89" spans="2:4" x14ac:dyDescent="0.25">
      <c r="B89" s="3" t="s">
        <v>214</v>
      </c>
      <c r="C89" s="3" t="s">
        <v>310</v>
      </c>
      <c r="D89" s="4">
        <v>1103.3399999999999</v>
      </c>
    </row>
    <row r="90" spans="2:4" x14ac:dyDescent="0.25">
      <c r="B90" s="3" t="s">
        <v>215</v>
      </c>
      <c r="C90" s="3" t="s">
        <v>311</v>
      </c>
      <c r="D90" s="4">
        <v>1103.3399999999999</v>
      </c>
    </row>
    <row r="91" spans="2:4" x14ac:dyDescent="0.25">
      <c r="B91" s="3" t="s">
        <v>216</v>
      </c>
      <c r="C91" s="3" t="s">
        <v>312</v>
      </c>
      <c r="D91" s="4">
        <v>1416.3</v>
      </c>
    </row>
    <row r="92" spans="2:4" x14ac:dyDescent="0.25">
      <c r="B92" s="3" t="s">
        <v>217</v>
      </c>
      <c r="C92" s="3" t="s">
        <v>313</v>
      </c>
      <c r="D92" s="4">
        <v>1416.3</v>
      </c>
    </row>
    <row r="93" spans="2:4" x14ac:dyDescent="0.25">
      <c r="B93" s="3" t="s">
        <v>218</v>
      </c>
      <c r="C93" s="3" t="s">
        <v>314</v>
      </c>
      <c r="D93" s="4">
        <v>1416.3</v>
      </c>
    </row>
    <row r="94" spans="2:4" x14ac:dyDescent="0.25">
      <c r="B94" s="3" t="s">
        <v>219</v>
      </c>
      <c r="C94" s="3" t="s">
        <v>315</v>
      </c>
      <c r="D94" s="4">
        <v>1416.3</v>
      </c>
    </row>
    <row r="95" spans="2:4" x14ac:dyDescent="0.25">
      <c r="B95" s="3" t="s">
        <v>220</v>
      </c>
      <c r="C95" s="3" t="s">
        <v>316</v>
      </c>
      <c r="D95" s="4">
        <v>1416.3</v>
      </c>
    </row>
    <row r="96" spans="2:4" x14ac:dyDescent="0.25">
      <c r="B96" s="3" t="s">
        <v>221</v>
      </c>
      <c r="C96" s="3" t="s">
        <v>317</v>
      </c>
      <c r="D96" s="4">
        <v>1416.3</v>
      </c>
    </row>
    <row r="97" spans="2:4" x14ac:dyDescent="0.25">
      <c r="B97" s="3" t="s">
        <v>222</v>
      </c>
      <c r="C97" s="3" t="s">
        <v>382</v>
      </c>
      <c r="D97" s="4">
        <v>790.37</v>
      </c>
    </row>
    <row r="98" spans="2:4" x14ac:dyDescent="0.25">
      <c r="B98" s="3" t="s">
        <v>223</v>
      </c>
      <c r="C98" s="3" t="s">
        <v>383</v>
      </c>
      <c r="D98" s="4">
        <v>790.37</v>
      </c>
    </row>
    <row r="99" spans="2:4" x14ac:dyDescent="0.25">
      <c r="B99" s="3" t="s">
        <v>224</v>
      </c>
      <c r="C99" s="3" t="s">
        <v>384</v>
      </c>
      <c r="D99" s="4">
        <v>790.37</v>
      </c>
    </row>
    <row r="100" spans="2:4" x14ac:dyDescent="0.25">
      <c r="B100" s="3" t="s">
        <v>225</v>
      </c>
      <c r="C100" s="3" t="s">
        <v>385</v>
      </c>
      <c r="D100" s="4">
        <v>790.37</v>
      </c>
    </row>
    <row r="101" spans="2:4" x14ac:dyDescent="0.25">
      <c r="B101" s="3" t="s">
        <v>226</v>
      </c>
      <c r="C101" s="3" t="s">
        <v>386</v>
      </c>
      <c r="D101" s="4">
        <v>976.03</v>
      </c>
    </row>
    <row r="102" spans="2:4" x14ac:dyDescent="0.25">
      <c r="B102" s="3" t="s">
        <v>227</v>
      </c>
      <c r="C102" s="3" t="s">
        <v>387</v>
      </c>
      <c r="D102" s="4">
        <v>976.03</v>
      </c>
    </row>
    <row r="103" spans="2:4" x14ac:dyDescent="0.25">
      <c r="B103" s="3" t="s">
        <v>228</v>
      </c>
      <c r="C103" s="3" t="s">
        <v>388</v>
      </c>
      <c r="D103" s="4">
        <v>1103.3399999999999</v>
      </c>
    </row>
    <row r="104" spans="2:4" x14ac:dyDescent="0.25">
      <c r="B104" s="3" t="s">
        <v>229</v>
      </c>
      <c r="C104" s="3" t="s">
        <v>389</v>
      </c>
      <c r="D104" s="4">
        <v>1103.3399999999999</v>
      </c>
    </row>
    <row r="105" spans="2:4" x14ac:dyDescent="0.25">
      <c r="B105" s="3" t="s">
        <v>230</v>
      </c>
      <c r="C105" s="3" t="s">
        <v>390</v>
      </c>
      <c r="D105" s="4">
        <v>1103.3399999999999</v>
      </c>
    </row>
    <row r="106" spans="2:4" x14ac:dyDescent="0.25">
      <c r="B106" s="3" t="s">
        <v>231</v>
      </c>
      <c r="C106" s="3" t="s">
        <v>391</v>
      </c>
      <c r="D106" s="4">
        <v>1103.3399999999999</v>
      </c>
    </row>
    <row r="107" spans="2:4" x14ac:dyDescent="0.25">
      <c r="B107" s="3" t="s">
        <v>232</v>
      </c>
      <c r="C107" s="3" t="s">
        <v>392</v>
      </c>
      <c r="D107" s="4">
        <v>1416.3</v>
      </c>
    </row>
    <row r="108" spans="2:4" x14ac:dyDescent="0.25">
      <c r="B108" s="3" t="s">
        <v>233</v>
      </c>
      <c r="C108" s="3" t="s">
        <v>393</v>
      </c>
      <c r="D108" s="4">
        <v>1416.3</v>
      </c>
    </row>
    <row r="109" spans="2:4" x14ac:dyDescent="0.25">
      <c r="B109" s="3" t="s">
        <v>234</v>
      </c>
      <c r="C109" s="3" t="s">
        <v>394</v>
      </c>
      <c r="D109" s="4">
        <v>1416.3</v>
      </c>
    </row>
    <row r="110" spans="2:4" x14ac:dyDescent="0.25">
      <c r="B110" s="3" t="s">
        <v>235</v>
      </c>
      <c r="C110" s="3" t="s">
        <v>395</v>
      </c>
      <c r="D110" s="4">
        <v>1416.3</v>
      </c>
    </row>
    <row r="111" spans="2:4" x14ac:dyDescent="0.25">
      <c r="B111" s="3" t="s">
        <v>236</v>
      </c>
      <c r="C111" s="3" t="s">
        <v>396</v>
      </c>
      <c r="D111" s="4">
        <v>1416.3</v>
      </c>
    </row>
    <row r="112" spans="2:4" x14ac:dyDescent="0.25">
      <c r="B112" s="3" t="s">
        <v>237</v>
      </c>
      <c r="C112" s="3" t="s">
        <v>397</v>
      </c>
      <c r="D112" s="4">
        <v>1416.3</v>
      </c>
    </row>
    <row r="113" spans="2:4" x14ac:dyDescent="0.25">
      <c r="B113" s="3" t="s">
        <v>238</v>
      </c>
      <c r="C113" s="3" t="s">
        <v>398</v>
      </c>
      <c r="D113" s="4">
        <v>822.19</v>
      </c>
    </row>
    <row r="114" spans="2:4" x14ac:dyDescent="0.25">
      <c r="B114" s="3" t="s">
        <v>239</v>
      </c>
      <c r="C114" s="3" t="s">
        <v>399</v>
      </c>
      <c r="D114" s="4">
        <v>822.19</v>
      </c>
    </row>
    <row r="115" spans="2:4" x14ac:dyDescent="0.25">
      <c r="B115" s="3" t="s">
        <v>240</v>
      </c>
      <c r="C115" s="3" t="s">
        <v>400</v>
      </c>
      <c r="D115" s="4">
        <v>822.19</v>
      </c>
    </row>
    <row r="116" spans="2:4" x14ac:dyDescent="0.25">
      <c r="B116" s="3" t="s">
        <v>241</v>
      </c>
      <c r="C116" s="3" t="s">
        <v>401</v>
      </c>
      <c r="D116" s="4">
        <v>822.19</v>
      </c>
    </row>
    <row r="117" spans="2:4" x14ac:dyDescent="0.25">
      <c r="B117" s="3" t="s">
        <v>242</v>
      </c>
      <c r="C117" s="3" t="s">
        <v>402</v>
      </c>
      <c r="D117" s="4">
        <v>1007.86</v>
      </c>
    </row>
    <row r="118" spans="2:4" x14ac:dyDescent="0.25">
      <c r="B118" s="3" t="s">
        <v>243</v>
      </c>
      <c r="C118" s="3" t="s">
        <v>403</v>
      </c>
      <c r="D118" s="4">
        <v>1007.86</v>
      </c>
    </row>
    <row r="119" spans="2:4" x14ac:dyDescent="0.25">
      <c r="B119" s="3" t="s">
        <v>244</v>
      </c>
      <c r="C119" s="3" t="s">
        <v>404</v>
      </c>
      <c r="D119" s="4">
        <v>1166.99</v>
      </c>
    </row>
    <row r="120" spans="2:4" x14ac:dyDescent="0.25">
      <c r="B120" s="3" t="s">
        <v>245</v>
      </c>
      <c r="C120" s="3" t="s">
        <v>405</v>
      </c>
      <c r="D120" s="4">
        <v>1166.99</v>
      </c>
    </row>
    <row r="121" spans="2:4" x14ac:dyDescent="0.25">
      <c r="B121" s="3" t="s">
        <v>246</v>
      </c>
      <c r="C121" s="3" t="s">
        <v>406</v>
      </c>
      <c r="D121" s="4">
        <v>1166.99</v>
      </c>
    </row>
    <row r="122" spans="2:4" x14ac:dyDescent="0.25">
      <c r="B122" s="3" t="s">
        <v>247</v>
      </c>
      <c r="C122" s="3" t="s">
        <v>407</v>
      </c>
      <c r="D122" s="4">
        <v>1166.99</v>
      </c>
    </row>
    <row r="123" spans="2:4" x14ac:dyDescent="0.25">
      <c r="B123" s="3" t="s">
        <v>248</v>
      </c>
      <c r="C123" s="3" t="s">
        <v>408</v>
      </c>
      <c r="D123" s="4">
        <v>1490.56</v>
      </c>
    </row>
    <row r="124" spans="2:4" x14ac:dyDescent="0.25">
      <c r="B124" s="3" t="s">
        <v>249</v>
      </c>
      <c r="C124" s="3" t="s">
        <v>409</v>
      </c>
      <c r="D124" s="4">
        <v>1490.56</v>
      </c>
    </row>
    <row r="125" spans="2:4" x14ac:dyDescent="0.25">
      <c r="B125" s="3" t="s">
        <v>250</v>
      </c>
      <c r="C125" s="3" t="s">
        <v>410</v>
      </c>
      <c r="D125" s="4">
        <v>1490.56</v>
      </c>
    </row>
    <row r="126" spans="2:4" x14ac:dyDescent="0.25">
      <c r="B126" s="3" t="s">
        <v>251</v>
      </c>
      <c r="C126" s="3" t="s">
        <v>411</v>
      </c>
      <c r="D126" s="4">
        <v>1490.56</v>
      </c>
    </row>
    <row r="127" spans="2:4" x14ac:dyDescent="0.25">
      <c r="B127" s="3" t="s">
        <v>252</v>
      </c>
      <c r="C127" s="3" t="s">
        <v>412</v>
      </c>
      <c r="D127" s="4">
        <v>1490.56</v>
      </c>
    </row>
    <row r="128" spans="2:4" x14ac:dyDescent="0.25">
      <c r="B128" s="3" t="s">
        <v>253</v>
      </c>
      <c r="C128" s="3" t="s">
        <v>413</v>
      </c>
      <c r="D128" s="4">
        <v>1490.56</v>
      </c>
    </row>
    <row r="129" spans="2:4" x14ac:dyDescent="0.25">
      <c r="B129" s="3" t="s">
        <v>254</v>
      </c>
      <c r="C129" s="3" t="s">
        <v>414</v>
      </c>
      <c r="D129" s="4">
        <v>1076.81</v>
      </c>
    </row>
    <row r="130" spans="2:4" x14ac:dyDescent="0.25">
      <c r="B130" s="3" t="s">
        <v>255</v>
      </c>
      <c r="C130" s="3" t="s">
        <v>415</v>
      </c>
      <c r="D130" s="4">
        <v>1076.81</v>
      </c>
    </row>
    <row r="131" spans="2:4" x14ac:dyDescent="0.25">
      <c r="B131" s="3" t="s">
        <v>256</v>
      </c>
      <c r="C131" s="3" t="s">
        <v>416</v>
      </c>
      <c r="D131" s="4">
        <v>1076.81</v>
      </c>
    </row>
    <row r="132" spans="2:4" x14ac:dyDescent="0.25">
      <c r="B132" s="3" t="s">
        <v>257</v>
      </c>
      <c r="C132" s="3" t="s">
        <v>417</v>
      </c>
      <c r="D132" s="4">
        <v>1076.81</v>
      </c>
    </row>
    <row r="133" spans="2:4" x14ac:dyDescent="0.25">
      <c r="B133" s="3" t="s">
        <v>258</v>
      </c>
      <c r="C133" s="3" t="s">
        <v>418</v>
      </c>
      <c r="D133" s="4">
        <v>1262.47</v>
      </c>
    </row>
    <row r="134" spans="2:4" x14ac:dyDescent="0.25">
      <c r="B134" s="3" t="s">
        <v>259</v>
      </c>
      <c r="C134" s="3" t="s">
        <v>419</v>
      </c>
      <c r="D134" s="4">
        <v>1262.47</v>
      </c>
    </row>
    <row r="135" spans="2:4" x14ac:dyDescent="0.25">
      <c r="B135" s="3" t="s">
        <v>260</v>
      </c>
      <c r="C135" s="3" t="s">
        <v>420</v>
      </c>
      <c r="D135" s="4">
        <v>1389.78</v>
      </c>
    </row>
    <row r="136" spans="2:4" x14ac:dyDescent="0.25">
      <c r="B136" s="3" t="s">
        <v>261</v>
      </c>
      <c r="C136" s="3" t="s">
        <v>421</v>
      </c>
      <c r="D136" s="4">
        <v>1389.78</v>
      </c>
    </row>
    <row r="137" spans="2:4" x14ac:dyDescent="0.25">
      <c r="B137" s="3" t="s">
        <v>262</v>
      </c>
      <c r="C137" s="3" t="s">
        <v>422</v>
      </c>
      <c r="D137" s="4">
        <v>1389.78</v>
      </c>
    </row>
    <row r="138" spans="2:4" x14ac:dyDescent="0.25">
      <c r="B138" s="3" t="s">
        <v>263</v>
      </c>
      <c r="C138" s="3" t="s">
        <v>423</v>
      </c>
      <c r="D138" s="4">
        <v>1389.78</v>
      </c>
    </row>
    <row r="139" spans="2:4" x14ac:dyDescent="0.25">
      <c r="B139" s="3" t="s">
        <v>264</v>
      </c>
      <c r="C139" s="3" t="s">
        <v>424</v>
      </c>
      <c r="D139" s="4">
        <v>1771.7</v>
      </c>
    </row>
    <row r="140" spans="2:4" x14ac:dyDescent="0.25">
      <c r="B140" s="3" t="s">
        <v>265</v>
      </c>
      <c r="C140" s="3" t="s">
        <v>425</v>
      </c>
      <c r="D140" s="4">
        <v>1771.7</v>
      </c>
    </row>
    <row r="141" spans="2:4" x14ac:dyDescent="0.25">
      <c r="B141" s="3" t="s">
        <v>266</v>
      </c>
      <c r="C141" s="3" t="s">
        <v>426</v>
      </c>
      <c r="D141" s="4">
        <v>1771.7</v>
      </c>
    </row>
    <row r="142" spans="2:4" x14ac:dyDescent="0.25">
      <c r="B142" s="3" t="s">
        <v>267</v>
      </c>
      <c r="C142" s="3" t="s">
        <v>427</v>
      </c>
      <c r="D142" s="4">
        <v>1771.7</v>
      </c>
    </row>
    <row r="143" spans="2:4" x14ac:dyDescent="0.25">
      <c r="B143" s="3" t="s">
        <v>268</v>
      </c>
      <c r="C143" s="3" t="s">
        <v>428</v>
      </c>
      <c r="D143" s="4">
        <v>1771.7</v>
      </c>
    </row>
    <row r="144" spans="2:4" x14ac:dyDescent="0.25">
      <c r="B144" s="3" t="s">
        <v>269</v>
      </c>
      <c r="C144" s="3" t="s">
        <v>429</v>
      </c>
      <c r="D144" s="4">
        <v>1771.7</v>
      </c>
    </row>
    <row r="145" spans="2:4" x14ac:dyDescent="0.25">
      <c r="B145" s="3" t="s">
        <v>270</v>
      </c>
      <c r="C145" s="3" t="s">
        <v>430</v>
      </c>
      <c r="D145" s="4">
        <v>1135.1600000000001</v>
      </c>
    </row>
    <row r="146" spans="2:4" x14ac:dyDescent="0.25">
      <c r="B146" s="3" t="s">
        <v>271</v>
      </c>
      <c r="C146" s="3" t="s">
        <v>431</v>
      </c>
      <c r="D146" s="4">
        <v>1135.1600000000001</v>
      </c>
    </row>
    <row r="147" spans="2:4" x14ac:dyDescent="0.25">
      <c r="B147" s="3" t="s">
        <v>272</v>
      </c>
      <c r="C147" s="3" t="s">
        <v>432</v>
      </c>
      <c r="D147" s="4">
        <v>1135.1600000000001</v>
      </c>
    </row>
    <row r="148" spans="2:4" x14ac:dyDescent="0.25">
      <c r="B148" s="3" t="s">
        <v>273</v>
      </c>
      <c r="C148" s="3" t="s">
        <v>433</v>
      </c>
      <c r="D148" s="4">
        <v>1135.1600000000001</v>
      </c>
    </row>
    <row r="149" spans="2:4" x14ac:dyDescent="0.25">
      <c r="B149" s="3" t="s">
        <v>274</v>
      </c>
      <c r="C149" s="3" t="s">
        <v>434</v>
      </c>
      <c r="D149" s="4">
        <v>1320.82</v>
      </c>
    </row>
    <row r="150" spans="2:4" x14ac:dyDescent="0.25">
      <c r="B150" s="3" t="s">
        <v>275</v>
      </c>
      <c r="C150" s="3" t="s">
        <v>435</v>
      </c>
      <c r="D150" s="4">
        <v>1320.82</v>
      </c>
    </row>
    <row r="151" spans="2:4" x14ac:dyDescent="0.25">
      <c r="B151" s="3" t="s">
        <v>276</v>
      </c>
      <c r="C151" s="3" t="s">
        <v>436</v>
      </c>
      <c r="D151" s="4">
        <v>1448.13</v>
      </c>
    </row>
    <row r="152" spans="2:4" x14ac:dyDescent="0.25">
      <c r="B152" s="3" t="s">
        <v>277</v>
      </c>
      <c r="C152" s="3" t="s">
        <v>437</v>
      </c>
      <c r="D152" s="4">
        <v>1448.13</v>
      </c>
    </row>
    <row r="153" spans="2:4" x14ac:dyDescent="0.25">
      <c r="B153" s="3" t="s">
        <v>278</v>
      </c>
      <c r="C153" s="3" t="s">
        <v>438</v>
      </c>
      <c r="D153" s="4">
        <v>1448.13</v>
      </c>
    </row>
    <row r="154" spans="2:4" x14ac:dyDescent="0.25">
      <c r="B154" s="3" t="s">
        <v>279</v>
      </c>
      <c r="C154" s="3" t="s">
        <v>439</v>
      </c>
      <c r="D154" s="4">
        <v>1448.13</v>
      </c>
    </row>
    <row r="155" spans="2:4" x14ac:dyDescent="0.25">
      <c r="B155" s="3" t="s">
        <v>280</v>
      </c>
      <c r="C155" s="3" t="s">
        <v>440</v>
      </c>
      <c r="D155" s="4">
        <v>1856.58</v>
      </c>
    </row>
    <row r="156" spans="2:4" x14ac:dyDescent="0.25">
      <c r="B156" s="3" t="s">
        <v>281</v>
      </c>
      <c r="C156" s="3" t="s">
        <v>441</v>
      </c>
      <c r="D156" s="4">
        <v>1856.58</v>
      </c>
    </row>
    <row r="157" spans="2:4" x14ac:dyDescent="0.25">
      <c r="B157" s="3" t="s">
        <v>282</v>
      </c>
      <c r="C157" s="3" t="s">
        <v>442</v>
      </c>
      <c r="D157" s="4">
        <v>1856.58</v>
      </c>
    </row>
    <row r="158" spans="2:4" x14ac:dyDescent="0.25">
      <c r="B158" s="3" t="s">
        <v>283</v>
      </c>
      <c r="C158" s="3" t="s">
        <v>443</v>
      </c>
      <c r="D158" s="4">
        <v>1856.58</v>
      </c>
    </row>
    <row r="159" spans="2:4" x14ac:dyDescent="0.25">
      <c r="B159" s="3" t="s">
        <v>284</v>
      </c>
      <c r="C159" s="3" t="s">
        <v>444</v>
      </c>
      <c r="D159" s="4">
        <v>1856.58</v>
      </c>
    </row>
    <row r="160" spans="2:4" x14ac:dyDescent="0.25">
      <c r="B160" s="3" t="s">
        <v>285</v>
      </c>
      <c r="C160" s="3" t="s">
        <v>445</v>
      </c>
      <c r="D160" s="4">
        <v>1856.58</v>
      </c>
    </row>
    <row r="161" spans="2:4" x14ac:dyDescent="0.25">
      <c r="B161" s="3" t="s">
        <v>286</v>
      </c>
      <c r="C161" s="3" t="s">
        <v>446</v>
      </c>
      <c r="D161" s="4">
        <v>1220.04</v>
      </c>
    </row>
    <row r="162" spans="2:4" x14ac:dyDescent="0.25">
      <c r="B162" s="3" t="s">
        <v>287</v>
      </c>
      <c r="C162" s="3" t="s">
        <v>447</v>
      </c>
      <c r="D162" s="4">
        <v>1220.04</v>
      </c>
    </row>
    <row r="163" spans="2:4" x14ac:dyDescent="0.25">
      <c r="B163" s="3" t="s">
        <v>288</v>
      </c>
      <c r="C163" s="3" t="s">
        <v>448</v>
      </c>
      <c r="D163" s="4">
        <v>1220.04</v>
      </c>
    </row>
    <row r="164" spans="2:4" x14ac:dyDescent="0.25">
      <c r="B164" s="3" t="s">
        <v>289</v>
      </c>
      <c r="C164" s="3" t="s">
        <v>449</v>
      </c>
      <c r="D164" s="4">
        <v>1220.04</v>
      </c>
    </row>
    <row r="165" spans="2:4" x14ac:dyDescent="0.25">
      <c r="B165" s="3" t="s">
        <v>290</v>
      </c>
      <c r="C165" s="3" t="s">
        <v>450</v>
      </c>
      <c r="D165" s="4">
        <v>1405.69</v>
      </c>
    </row>
    <row r="166" spans="2:4" x14ac:dyDescent="0.25">
      <c r="B166" s="3" t="s">
        <v>291</v>
      </c>
      <c r="C166" s="3" t="s">
        <v>451</v>
      </c>
      <c r="D166" s="4">
        <v>1405.69</v>
      </c>
    </row>
    <row r="167" spans="2:4" x14ac:dyDescent="0.25">
      <c r="B167" s="3" t="s">
        <v>292</v>
      </c>
      <c r="C167" s="3" t="s">
        <v>452</v>
      </c>
      <c r="D167" s="4">
        <v>1533</v>
      </c>
    </row>
    <row r="168" spans="2:4" x14ac:dyDescent="0.25">
      <c r="B168" s="3" t="s">
        <v>293</v>
      </c>
      <c r="C168" s="3" t="s">
        <v>453</v>
      </c>
      <c r="D168" s="4">
        <v>1533</v>
      </c>
    </row>
    <row r="169" spans="2:4" x14ac:dyDescent="0.25">
      <c r="B169" s="3" t="s">
        <v>294</v>
      </c>
      <c r="C169" s="3" t="s">
        <v>454</v>
      </c>
      <c r="D169" s="4">
        <v>1533</v>
      </c>
    </row>
    <row r="170" spans="2:4" x14ac:dyDescent="0.25">
      <c r="B170" s="3" t="s">
        <v>295</v>
      </c>
      <c r="C170" s="3" t="s">
        <v>455</v>
      </c>
      <c r="D170" s="4">
        <v>1533</v>
      </c>
    </row>
    <row r="171" spans="2:4" x14ac:dyDescent="0.25">
      <c r="B171" s="3" t="s">
        <v>296</v>
      </c>
      <c r="C171" s="3" t="s">
        <v>456</v>
      </c>
      <c r="D171" s="4">
        <v>2015.71</v>
      </c>
    </row>
    <row r="172" spans="2:4" x14ac:dyDescent="0.25">
      <c r="B172" s="3" t="s">
        <v>297</v>
      </c>
      <c r="C172" s="3" t="s">
        <v>457</v>
      </c>
      <c r="D172" s="4">
        <v>2015.71</v>
      </c>
    </row>
    <row r="173" spans="2:4" x14ac:dyDescent="0.25">
      <c r="B173" s="3" t="s">
        <v>298</v>
      </c>
      <c r="C173" s="3" t="s">
        <v>458</v>
      </c>
      <c r="D173" s="4">
        <v>2015.71</v>
      </c>
    </row>
    <row r="174" spans="2:4" x14ac:dyDescent="0.25">
      <c r="B174" s="3" t="s">
        <v>299</v>
      </c>
      <c r="C174" s="3" t="s">
        <v>459</v>
      </c>
      <c r="D174" s="4">
        <v>2015.71</v>
      </c>
    </row>
    <row r="175" spans="2:4" x14ac:dyDescent="0.25">
      <c r="B175" s="3" t="s">
        <v>300</v>
      </c>
      <c r="C175" s="3" t="s">
        <v>460</v>
      </c>
      <c r="D175" s="4">
        <v>2015.71</v>
      </c>
    </row>
    <row r="176" spans="2:4" x14ac:dyDescent="0.25">
      <c r="B176" s="3" t="s">
        <v>301</v>
      </c>
      <c r="C176" s="3" t="s">
        <v>461</v>
      </c>
      <c r="D176" s="4">
        <v>2015.71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013-BCF8-4CA2-8EAF-241F37685A0D}">
  <sheetPr codeName="Blad5"/>
  <dimension ref="B1:L50"/>
  <sheetViews>
    <sheetView topLeftCell="A22" zoomScale="90" zoomScaleNormal="90" workbookViewId="0">
      <selection activeCell="C53" sqref="C53"/>
    </sheetView>
  </sheetViews>
  <sheetFormatPr defaultRowHeight="15" x14ac:dyDescent="0.25"/>
  <cols>
    <col min="2" max="2" width="16" customWidth="1"/>
    <col min="3" max="3" width="90" bestFit="1" customWidth="1"/>
    <col min="9" max="9" width="10.140625" bestFit="1" customWidth="1"/>
    <col min="10" max="10" width="73.85546875" customWidth="1"/>
    <col min="11" max="11" width="12" customWidth="1"/>
  </cols>
  <sheetData>
    <row r="1" spans="2:12" ht="20.100000000000001" customHeight="1" x14ac:dyDescent="0.25"/>
    <row r="2" spans="2:12" ht="20.100000000000001" customHeight="1" x14ac:dyDescent="0.25">
      <c r="B2" s="48" t="s">
        <v>969</v>
      </c>
      <c r="C2" s="3" t="s">
        <v>640</v>
      </c>
      <c r="D2" s="3"/>
      <c r="E2" s="24"/>
      <c r="I2" t="s">
        <v>508</v>
      </c>
      <c r="J2" t="s">
        <v>624</v>
      </c>
      <c r="K2" s="17"/>
      <c r="L2" s="17"/>
    </row>
    <row r="3" spans="2:12" ht="20.100000000000001" customHeight="1" x14ac:dyDescent="0.25">
      <c r="B3" s="48" t="s">
        <v>970</v>
      </c>
      <c r="C3" s="3" t="s">
        <v>641</v>
      </c>
      <c r="D3" s="3"/>
      <c r="E3" s="24"/>
      <c r="I3" t="s">
        <v>509</v>
      </c>
      <c r="J3" t="s">
        <v>625</v>
      </c>
      <c r="K3" s="17"/>
      <c r="L3" s="17"/>
    </row>
    <row r="4" spans="2:12" ht="20.100000000000001" customHeight="1" x14ac:dyDescent="0.25">
      <c r="B4" s="48" t="s">
        <v>971</v>
      </c>
      <c r="C4" s="3" t="s">
        <v>642</v>
      </c>
      <c r="D4" s="3"/>
      <c r="E4" s="24"/>
      <c r="I4" t="s">
        <v>510</v>
      </c>
      <c r="J4" t="s">
        <v>626</v>
      </c>
      <c r="K4" s="17"/>
      <c r="L4" s="17"/>
    </row>
    <row r="5" spans="2:12" ht="20.100000000000001" customHeight="1" x14ac:dyDescent="0.25">
      <c r="B5" s="48" t="s">
        <v>972</v>
      </c>
      <c r="C5" s="3" t="s">
        <v>643</v>
      </c>
      <c r="D5" s="3"/>
      <c r="E5" s="24"/>
      <c r="I5" t="s">
        <v>511</v>
      </c>
      <c r="J5" t="s">
        <v>627</v>
      </c>
      <c r="K5" s="17"/>
      <c r="L5" s="17"/>
    </row>
    <row r="6" spans="2:12" ht="20.100000000000001" customHeight="1" x14ac:dyDescent="0.25">
      <c r="B6" s="48" t="s">
        <v>973</v>
      </c>
      <c r="C6" s="3" t="s">
        <v>644</v>
      </c>
      <c r="D6" s="3"/>
      <c r="E6" s="24"/>
    </row>
    <row r="7" spans="2:12" ht="20.100000000000001" customHeight="1" x14ac:dyDescent="0.25">
      <c r="B7" s="48" t="s">
        <v>974</v>
      </c>
      <c r="C7" s="3" t="s">
        <v>645</v>
      </c>
      <c r="D7" s="3"/>
      <c r="E7" s="24"/>
    </row>
    <row r="8" spans="2:12" ht="20.100000000000001" customHeight="1" x14ac:dyDescent="0.25">
      <c r="B8" s="48" t="s">
        <v>975</v>
      </c>
      <c r="C8" s="3" t="s">
        <v>646</v>
      </c>
      <c r="D8" s="3"/>
      <c r="E8" s="24"/>
    </row>
    <row r="9" spans="2:12" ht="20.100000000000001" customHeight="1" x14ac:dyDescent="0.25">
      <c r="B9" s="48" t="s">
        <v>976</v>
      </c>
      <c r="C9" s="3" t="s">
        <v>647</v>
      </c>
      <c r="D9" s="3"/>
      <c r="E9" s="24"/>
    </row>
    <row r="10" spans="2:12" ht="20.100000000000001" customHeight="1" x14ac:dyDescent="0.25">
      <c r="B10" s="48" t="s">
        <v>977</v>
      </c>
      <c r="C10" s="3" t="s">
        <v>648</v>
      </c>
      <c r="D10" s="3"/>
      <c r="E10" s="24"/>
    </row>
    <row r="11" spans="2:12" ht="20.100000000000001" customHeight="1" x14ac:dyDescent="0.25">
      <c r="B11" s="48" t="s">
        <v>978</v>
      </c>
      <c r="C11" s="3" t="s">
        <v>649</v>
      </c>
      <c r="D11" s="3"/>
      <c r="E11" s="24"/>
    </row>
    <row r="12" spans="2:12" ht="20.100000000000001" customHeight="1" x14ac:dyDescent="0.25">
      <c r="B12" s="48" t="s">
        <v>979</v>
      </c>
      <c r="C12" s="3" t="s">
        <v>650</v>
      </c>
      <c r="D12" s="3"/>
      <c r="E12" s="24"/>
    </row>
    <row r="13" spans="2:12" ht="20.100000000000001" customHeight="1" x14ac:dyDescent="0.25">
      <c r="B13" s="48" t="s">
        <v>980</v>
      </c>
      <c r="C13" s="3" t="s">
        <v>651</v>
      </c>
      <c r="D13" s="3"/>
      <c r="E13" s="24"/>
    </row>
    <row r="14" spans="2:12" ht="20.100000000000001" customHeight="1" x14ac:dyDescent="0.25">
      <c r="B14" s="48" t="s">
        <v>981</v>
      </c>
      <c r="C14" s="3" t="s">
        <v>652</v>
      </c>
      <c r="D14" s="3"/>
      <c r="E14" s="24"/>
    </row>
    <row r="15" spans="2:12" ht="20.100000000000001" customHeight="1" x14ac:dyDescent="0.25">
      <c r="B15" s="48" t="s">
        <v>982</v>
      </c>
      <c r="C15" s="3" t="s">
        <v>653</v>
      </c>
      <c r="D15" s="3"/>
      <c r="E15" s="24"/>
    </row>
    <row r="16" spans="2:12" ht="20.100000000000001" customHeight="1" x14ac:dyDescent="0.25">
      <c r="B16" s="48" t="s">
        <v>983</v>
      </c>
      <c r="C16" s="3" t="s">
        <v>654</v>
      </c>
      <c r="D16" s="3"/>
      <c r="E16" s="24"/>
    </row>
    <row r="17" spans="2:5" ht="20.100000000000001" customHeight="1" x14ac:dyDescent="0.25">
      <c r="B17" s="48" t="s">
        <v>984</v>
      </c>
      <c r="C17" s="3" t="s">
        <v>655</v>
      </c>
      <c r="D17" s="3"/>
      <c r="E17" s="24"/>
    </row>
    <row r="18" spans="2:5" ht="20.100000000000001" customHeight="1" x14ac:dyDescent="0.25">
      <c r="B18" s="48" t="s">
        <v>985</v>
      </c>
      <c r="C18" s="3" t="s">
        <v>656</v>
      </c>
      <c r="D18" s="3"/>
      <c r="E18" s="24"/>
    </row>
    <row r="19" spans="2:5" ht="20.100000000000001" customHeight="1" x14ac:dyDescent="0.25">
      <c r="B19" s="48" t="s">
        <v>986</v>
      </c>
      <c r="C19" s="3" t="s">
        <v>657</v>
      </c>
      <c r="D19" s="3"/>
      <c r="E19" s="24"/>
    </row>
    <row r="20" spans="2:5" ht="20.100000000000001" customHeight="1" x14ac:dyDescent="0.25">
      <c r="B20" s="48" t="s">
        <v>987</v>
      </c>
      <c r="C20" s="3" t="s">
        <v>658</v>
      </c>
      <c r="D20" s="3"/>
      <c r="E20" s="24"/>
    </row>
    <row r="21" spans="2:5" ht="20.100000000000001" customHeight="1" x14ac:dyDescent="0.25">
      <c r="B21" s="48" t="s">
        <v>988</v>
      </c>
      <c r="C21" s="3" t="s">
        <v>659</v>
      </c>
      <c r="D21" s="3"/>
      <c r="E21" s="24"/>
    </row>
    <row r="22" spans="2:5" ht="20.100000000000001" customHeight="1" x14ac:dyDescent="0.25">
      <c r="B22" s="48" t="s">
        <v>989</v>
      </c>
      <c r="C22" s="3" t="s">
        <v>660</v>
      </c>
      <c r="D22" s="3"/>
      <c r="E22" s="24"/>
    </row>
    <row r="23" spans="2:5" ht="20.100000000000001" customHeight="1" x14ac:dyDescent="0.25">
      <c r="B23" s="48" t="s">
        <v>990</v>
      </c>
      <c r="C23" s="3" t="s">
        <v>661</v>
      </c>
      <c r="D23" s="3"/>
      <c r="E23" s="24"/>
    </row>
    <row r="24" spans="2:5" ht="20.100000000000001" customHeight="1" x14ac:dyDescent="0.25">
      <c r="B24" s="49" t="s">
        <v>991</v>
      </c>
      <c r="C24" s="3" t="s">
        <v>670</v>
      </c>
      <c r="E24" s="23"/>
    </row>
    <row r="25" spans="2:5" ht="20.100000000000001" customHeight="1" x14ac:dyDescent="0.25">
      <c r="B25" s="49" t="s">
        <v>992</v>
      </c>
      <c r="C25" s="3" t="s">
        <v>671</v>
      </c>
      <c r="E25" s="23"/>
    </row>
    <row r="26" spans="2:5" ht="20.100000000000001" customHeight="1" x14ac:dyDescent="0.25">
      <c r="B26" s="49" t="s">
        <v>993</v>
      </c>
      <c r="C26" s="3" t="s">
        <v>672</v>
      </c>
      <c r="E26" s="23"/>
    </row>
    <row r="27" spans="2:5" ht="20.100000000000001" customHeight="1" x14ac:dyDescent="0.25">
      <c r="B27" s="49" t="s">
        <v>994</v>
      </c>
      <c r="C27" s="3" t="s">
        <v>673</v>
      </c>
      <c r="E27" s="23"/>
    </row>
    <row r="28" spans="2:5" ht="20.100000000000001" customHeight="1" x14ac:dyDescent="0.25">
      <c r="B28" s="49" t="s">
        <v>995</v>
      </c>
      <c r="C28" s="3" t="s">
        <v>697</v>
      </c>
      <c r="E28" s="23"/>
    </row>
    <row r="29" spans="2:5" ht="20.100000000000001" customHeight="1" x14ac:dyDescent="0.25">
      <c r="B29" s="49" t="s">
        <v>996</v>
      </c>
      <c r="C29" s="3" t="s">
        <v>698</v>
      </c>
      <c r="E29" s="23"/>
    </row>
    <row r="30" spans="2:5" ht="20.100000000000001" customHeight="1" x14ac:dyDescent="0.25">
      <c r="B30" s="49" t="s">
        <v>997</v>
      </c>
      <c r="C30" s="3" t="s">
        <v>699</v>
      </c>
      <c r="E30" s="23"/>
    </row>
    <row r="31" spans="2:5" ht="20.100000000000001" customHeight="1" x14ac:dyDescent="0.25">
      <c r="B31" s="49" t="s">
        <v>998</v>
      </c>
      <c r="C31" s="3" t="s">
        <v>700</v>
      </c>
      <c r="E31" s="23"/>
    </row>
    <row r="32" spans="2:5" ht="20.100000000000001" customHeight="1" x14ac:dyDescent="0.25">
      <c r="B32" s="50" t="s">
        <v>999</v>
      </c>
      <c r="C32" s="50" t="s">
        <v>1018</v>
      </c>
    </row>
    <row r="33" spans="2:3" ht="20.100000000000001" customHeight="1" x14ac:dyDescent="0.25">
      <c r="B33" s="50" t="s">
        <v>1000</v>
      </c>
      <c r="C33" s="50" t="s">
        <v>1019</v>
      </c>
    </row>
    <row r="34" spans="2:3" ht="20.100000000000001" customHeight="1" x14ac:dyDescent="0.25">
      <c r="B34" s="50" t="s">
        <v>1001</v>
      </c>
      <c r="C34" s="50" t="s">
        <v>1020</v>
      </c>
    </row>
    <row r="35" spans="2:3" ht="20.100000000000001" customHeight="1" x14ac:dyDescent="0.25">
      <c r="B35" s="50" t="s">
        <v>1002</v>
      </c>
      <c r="C35" s="50" t="s">
        <v>1021</v>
      </c>
    </row>
    <row r="36" spans="2:3" ht="20.100000000000001" customHeight="1" x14ac:dyDescent="0.25">
      <c r="B36" s="50" t="s">
        <v>1003</v>
      </c>
      <c r="C36" s="50" t="s">
        <v>1022</v>
      </c>
    </row>
    <row r="37" spans="2:3" x14ac:dyDescent="0.25">
      <c r="B37" s="50" t="s">
        <v>1004</v>
      </c>
      <c r="C37" s="50" t="s">
        <v>1023</v>
      </c>
    </row>
    <row r="38" spans="2:3" x14ac:dyDescent="0.25">
      <c r="B38" s="50" t="s">
        <v>1005</v>
      </c>
      <c r="C38" s="50" t="s">
        <v>1024</v>
      </c>
    </row>
    <row r="39" spans="2:3" x14ac:dyDescent="0.25">
      <c r="B39" s="50" t="s">
        <v>1006</v>
      </c>
      <c r="C39" s="50" t="s">
        <v>1025</v>
      </c>
    </row>
    <row r="40" spans="2:3" x14ac:dyDescent="0.25">
      <c r="B40" s="50" t="s">
        <v>1007</v>
      </c>
      <c r="C40" s="50" t="s">
        <v>1026</v>
      </c>
    </row>
    <row r="41" spans="2:3" x14ac:dyDescent="0.25">
      <c r="B41" s="50" t="s">
        <v>1008</v>
      </c>
      <c r="C41" s="50" t="s">
        <v>1027</v>
      </c>
    </row>
    <row r="42" spans="2:3" x14ac:dyDescent="0.25">
      <c r="B42" s="50" t="s">
        <v>1009</v>
      </c>
      <c r="C42" s="50" t="s">
        <v>1028</v>
      </c>
    </row>
    <row r="43" spans="2:3" x14ac:dyDescent="0.25">
      <c r="B43" s="50" t="s">
        <v>1010</v>
      </c>
      <c r="C43" s="50" t="s">
        <v>1029</v>
      </c>
    </row>
    <row r="44" spans="2:3" x14ac:dyDescent="0.25">
      <c r="B44" s="50" t="s">
        <v>1011</v>
      </c>
      <c r="C44" s="50" t="s">
        <v>1030</v>
      </c>
    </row>
    <row r="45" spans="2:3" x14ac:dyDescent="0.25">
      <c r="B45" s="50" t="s">
        <v>1012</v>
      </c>
      <c r="C45" s="50" t="s">
        <v>1031</v>
      </c>
    </row>
    <row r="46" spans="2:3" x14ac:dyDescent="0.25">
      <c r="B46" s="50" t="s">
        <v>1013</v>
      </c>
      <c r="C46" s="50" t="s">
        <v>1032</v>
      </c>
    </row>
    <row r="47" spans="2:3" x14ac:dyDescent="0.25">
      <c r="B47" s="50" t="s">
        <v>1014</v>
      </c>
      <c r="C47" s="50" t="s">
        <v>1033</v>
      </c>
    </row>
    <row r="48" spans="2:3" x14ac:dyDescent="0.25">
      <c r="B48" s="50" t="s">
        <v>1015</v>
      </c>
      <c r="C48" s="50" t="s">
        <v>1034</v>
      </c>
    </row>
    <row r="49" spans="2:3" x14ac:dyDescent="0.25">
      <c r="B49" s="50" t="s">
        <v>1016</v>
      </c>
      <c r="C49" s="50" t="s">
        <v>1035</v>
      </c>
    </row>
    <row r="50" spans="2:3" x14ac:dyDescent="0.25">
      <c r="B50" s="50" t="s">
        <v>1017</v>
      </c>
      <c r="C50" s="50" t="s">
        <v>1036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88-8902-4639-ADAA-66D2F7DF570D}">
  <sheetPr codeName="Blad7"/>
  <dimension ref="A1:AD48"/>
  <sheetViews>
    <sheetView topLeftCell="C1" workbookViewId="0">
      <selection activeCell="Y22" sqref="Y22"/>
    </sheetView>
  </sheetViews>
  <sheetFormatPr defaultRowHeight="15" x14ac:dyDescent="0.25"/>
  <cols>
    <col min="2" max="2" width="20.28515625" customWidth="1"/>
    <col min="3" max="3" width="56.85546875" customWidth="1"/>
    <col min="4" max="4" width="16.28515625" customWidth="1"/>
    <col min="17" max="17" width="9.5703125" customWidth="1"/>
    <col min="25" max="25" width="9" customWidth="1"/>
  </cols>
  <sheetData>
    <row r="1" spans="1:25" ht="15.75" thickBot="1" x14ac:dyDescent="0.3">
      <c r="G1">
        <v>12</v>
      </c>
      <c r="Y1" t="s">
        <v>600</v>
      </c>
    </row>
    <row r="2" spans="1:25" ht="15.75" thickBot="1" x14ac:dyDescent="0.3">
      <c r="A2">
        <v>10</v>
      </c>
      <c r="B2" s="6" t="s">
        <v>462</v>
      </c>
      <c r="C2" s="6" t="s">
        <v>539</v>
      </c>
      <c r="D2" s="29">
        <v>68.8</v>
      </c>
      <c r="Y2" t="e">
        <f>VLOOKUP('X5 order form'!E21,GREPEN!G25:Z31,2,FALSE)</f>
        <v>#N/A</v>
      </c>
    </row>
    <row r="3" spans="1:25" ht="15.75" thickBot="1" x14ac:dyDescent="0.3">
      <c r="A3">
        <v>12</v>
      </c>
      <c r="B3" s="6" t="s">
        <v>463</v>
      </c>
      <c r="C3" s="6" t="s">
        <v>540</v>
      </c>
      <c r="D3" s="30">
        <v>68.8</v>
      </c>
      <c r="Y3" t="e">
        <f>VLOOKUP('X5 order form'!E21,GREPEN!G25:Z31,3,FALSE)</f>
        <v>#N/A</v>
      </c>
    </row>
    <row r="4" spans="1:25" ht="15.75" thickBot="1" x14ac:dyDescent="0.3">
      <c r="A4">
        <v>35</v>
      </c>
      <c r="B4" s="6" t="s">
        <v>464</v>
      </c>
      <c r="C4" s="6" t="s">
        <v>541</v>
      </c>
      <c r="D4" s="30">
        <v>82.31</v>
      </c>
      <c r="Y4" t="e">
        <f>VLOOKUP('X5 order form'!E21,GREPEN!G25:Z31,4,FALSE)</f>
        <v>#N/A</v>
      </c>
    </row>
    <row r="5" spans="1:25" ht="15.75" thickBot="1" x14ac:dyDescent="0.3">
      <c r="A5">
        <v>40</v>
      </c>
      <c r="B5" s="6" t="s">
        <v>465</v>
      </c>
      <c r="C5" s="6" t="s">
        <v>542</v>
      </c>
      <c r="D5" s="30">
        <v>79.92</v>
      </c>
      <c r="F5" s="6"/>
      <c r="Y5" t="e">
        <f>VLOOKUP('X5 order form'!E21,GREPEN!G25:Z31,5,FALSE)</f>
        <v>#N/A</v>
      </c>
    </row>
    <row r="6" spans="1:25" ht="15.75" thickBot="1" x14ac:dyDescent="0.3">
      <c r="A6">
        <v>40</v>
      </c>
      <c r="B6" s="6" t="s">
        <v>466</v>
      </c>
      <c r="C6" s="6" t="s">
        <v>543</v>
      </c>
      <c r="D6" s="30">
        <v>79.92</v>
      </c>
      <c r="Y6" t="e">
        <f>VLOOKUP('X5 order form'!E21,GREPEN!G25:Z31,6,FALSE)</f>
        <v>#N/A</v>
      </c>
    </row>
    <row r="7" spans="1:25" ht="15.75" thickBot="1" x14ac:dyDescent="0.3">
      <c r="A7">
        <v>40</v>
      </c>
      <c r="B7" s="6" t="s">
        <v>467</v>
      </c>
      <c r="C7" s="6" t="s">
        <v>544</v>
      </c>
      <c r="D7" s="30">
        <v>79.92</v>
      </c>
      <c r="Y7" t="e">
        <f>VLOOKUP('X5 order form'!E21,GREPEN!G25:Z31,7,FALSE)</f>
        <v>#N/A</v>
      </c>
    </row>
    <row r="8" spans="1:25" ht="15.75" thickBot="1" x14ac:dyDescent="0.3">
      <c r="A8">
        <v>45</v>
      </c>
      <c r="B8" s="6" t="s">
        <v>468</v>
      </c>
      <c r="C8" s="6" t="s">
        <v>545</v>
      </c>
      <c r="D8" s="30">
        <v>93.06</v>
      </c>
      <c r="Y8" t="e">
        <f>VLOOKUP('X5 order form'!E21,GREPEN!G25:Z31,8,FALSE)</f>
        <v>#N/A</v>
      </c>
    </row>
    <row r="9" spans="1:25" ht="15.75" thickBot="1" x14ac:dyDescent="0.3">
      <c r="A9">
        <v>50</v>
      </c>
      <c r="B9" s="6" t="s">
        <v>469</v>
      </c>
      <c r="C9" s="6" t="s">
        <v>546</v>
      </c>
      <c r="D9" s="30">
        <v>107.37</v>
      </c>
      <c r="Y9" t="e">
        <f>VLOOKUP('X5 order form'!E21,GREPEN!G25:Z31,9,FALSE)</f>
        <v>#N/A</v>
      </c>
    </row>
    <row r="10" spans="1:25" ht="15.75" thickBot="1" x14ac:dyDescent="0.3">
      <c r="A10">
        <v>60</v>
      </c>
      <c r="B10" s="6" t="s">
        <v>470</v>
      </c>
      <c r="C10" s="6" t="s">
        <v>547</v>
      </c>
      <c r="D10" s="30">
        <v>113.34</v>
      </c>
      <c r="Y10" t="e">
        <f>VLOOKUP('X5 order form'!E21,GREPEN!G25:Z31,10,FALSE)</f>
        <v>#N/A</v>
      </c>
    </row>
    <row r="11" spans="1:25" ht="15.75" thickBot="1" x14ac:dyDescent="0.3">
      <c r="A11">
        <v>40</v>
      </c>
      <c r="B11" s="6" t="s">
        <v>471</v>
      </c>
      <c r="C11" s="6" t="s">
        <v>548</v>
      </c>
      <c r="D11" s="30">
        <v>119.3</v>
      </c>
      <c r="Y11" t="e">
        <f>VLOOKUP('X5 order form'!E21,GREPEN!G25:Z31,11,FALSE)</f>
        <v>#N/A</v>
      </c>
    </row>
    <row r="12" spans="1:25" ht="15.75" thickBot="1" x14ac:dyDescent="0.3">
      <c r="A12">
        <v>40</v>
      </c>
      <c r="B12" s="6" t="s">
        <v>472</v>
      </c>
      <c r="C12" s="6" t="s">
        <v>549</v>
      </c>
      <c r="D12" s="30">
        <v>276.76</v>
      </c>
      <c r="Y12" t="e">
        <f>VLOOKUP('X5 order form'!E21,GREPEN!G25:Z31,12,FALSE)</f>
        <v>#N/A</v>
      </c>
    </row>
    <row r="13" spans="1:25" ht="15.75" thickBot="1" x14ac:dyDescent="0.3">
      <c r="A13">
        <v>40</v>
      </c>
      <c r="B13" s="6" t="s">
        <v>473</v>
      </c>
      <c r="C13" s="6" t="s">
        <v>550</v>
      </c>
      <c r="D13" s="30">
        <v>132.41999999999999</v>
      </c>
      <c r="Y13" t="e">
        <f>VLOOKUP('X5 order form'!E21,GREPEN!G25:Z31,13,FALSE)</f>
        <v>#N/A</v>
      </c>
    </row>
    <row r="14" spans="1:25" ht="15.75" thickBot="1" x14ac:dyDescent="0.3">
      <c r="A14">
        <v>35</v>
      </c>
      <c r="B14" s="6" t="s">
        <v>474</v>
      </c>
      <c r="C14" s="6" t="s">
        <v>551</v>
      </c>
      <c r="D14" s="30">
        <v>79.92</v>
      </c>
      <c r="Y14" t="e">
        <f>VLOOKUP('X5 order form'!E21,GREPEN!G25:Z31,14,FALSE)</f>
        <v>#N/A</v>
      </c>
    </row>
    <row r="15" spans="1:25" ht="15.75" thickBot="1" x14ac:dyDescent="0.3">
      <c r="A15">
        <v>40</v>
      </c>
      <c r="B15" s="6" t="s">
        <v>475</v>
      </c>
      <c r="C15" s="6" t="s">
        <v>552</v>
      </c>
      <c r="D15" s="30">
        <v>79.92</v>
      </c>
      <c r="Y15" t="e">
        <f>VLOOKUP('X5 order form'!E21,GREPEN!G25:Z31,15,FALSE)</f>
        <v>#N/A</v>
      </c>
    </row>
    <row r="16" spans="1:25" ht="15.75" thickBot="1" x14ac:dyDescent="0.3">
      <c r="A16">
        <v>40</v>
      </c>
      <c r="B16" s="6" t="s">
        <v>476</v>
      </c>
      <c r="C16" s="6" t="s">
        <v>553</v>
      </c>
      <c r="D16" s="30">
        <v>79.92</v>
      </c>
      <c r="Y16" t="e">
        <f>VLOOKUP('X5 order form'!E21,GREPEN!G25:Z31,16,FALSE)</f>
        <v>#N/A</v>
      </c>
    </row>
    <row r="17" spans="1:30" ht="15.75" thickBot="1" x14ac:dyDescent="0.3">
      <c r="A17">
        <v>40</v>
      </c>
      <c r="B17" s="6" t="s">
        <v>477</v>
      </c>
      <c r="C17" s="6" t="s">
        <v>554</v>
      </c>
      <c r="D17" s="30">
        <v>79.92</v>
      </c>
      <c r="Y17" t="e">
        <f>VLOOKUP('X5 order form'!E21,GREPEN!G25:Z31,17,FALSE)</f>
        <v>#N/A</v>
      </c>
    </row>
    <row r="18" spans="1:30" ht="15.75" thickBot="1" x14ac:dyDescent="0.3">
      <c r="A18">
        <v>45</v>
      </c>
      <c r="B18" s="6" t="s">
        <v>478</v>
      </c>
      <c r="C18" s="6" t="s">
        <v>555</v>
      </c>
      <c r="D18" s="31" t="s">
        <v>695</v>
      </c>
      <c r="Y18" t="e">
        <f>VLOOKUP('X5 order form'!E21,GREPEN!G25:Z31,18,FALSE)</f>
        <v>#N/A</v>
      </c>
    </row>
    <row r="19" spans="1:30" ht="15.75" thickBot="1" x14ac:dyDescent="0.3">
      <c r="A19">
        <v>50</v>
      </c>
      <c r="B19" s="6" t="s">
        <v>479</v>
      </c>
      <c r="C19" s="6" t="s">
        <v>604</v>
      </c>
      <c r="D19" s="30">
        <v>93.06</v>
      </c>
      <c r="Y19" t="e">
        <f>VLOOKUP('X5 order form'!E21,GREPEN!G25:Z31,19,FALSE)</f>
        <v>#N/A</v>
      </c>
    </row>
    <row r="20" spans="1:30" ht="15.75" thickBot="1" x14ac:dyDescent="0.3">
      <c r="A20">
        <v>50</v>
      </c>
      <c r="B20" s="6" t="s">
        <v>479</v>
      </c>
      <c r="C20" s="6" t="s">
        <v>605</v>
      </c>
      <c r="D20" s="30">
        <v>93.06</v>
      </c>
      <c r="Y20" t="e">
        <f>VLOOKUP('X5 order form'!E21,GREPEN!G25:AD31,20,FALSE)</f>
        <v>#N/A</v>
      </c>
    </row>
    <row r="21" spans="1:30" ht="15.75" thickBot="1" x14ac:dyDescent="0.3">
      <c r="A21">
        <v>50</v>
      </c>
      <c r="B21" s="6" t="s">
        <v>479</v>
      </c>
      <c r="C21" s="6" t="s">
        <v>556</v>
      </c>
      <c r="D21" s="30">
        <v>93.06</v>
      </c>
      <c r="Y21" t="e">
        <f>VLOOKUP('X5 order form'!E21,GREPEN!G25:AD31,21,FALSE)</f>
        <v>#N/A</v>
      </c>
    </row>
    <row r="22" spans="1:30" ht="15.75" thickBot="1" x14ac:dyDescent="0.3">
      <c r="A22">
        <v>40</v>
      </c>
      <c r="B22" s="6" t="s">
        <v>480</v>
      </c>
      <c r="C22" s="6" t="s">
        <v>557</v>
      </c>
      <c r="D22" s="30">
        <v>79.92</v>
      </c>
      <c r="Y22" t="e">
        <f>VLOOKUP('X5 order form'!E21,GREPEN!G25:AD31,22,FALSE)</f>
        <v>#N/A</v>
      </c>
    </row>
    <row r="23" spans="1:30" ht="15.75" thickBot="1" x14ac:dyDescent="0.3">
      <c r="A23">
        <v>40</v>
      </c>
      <c r="B23" s="6" t="s">
        <v>481</v>
      </c>
      <c r="C23" s="6" t="s">
        <v>558</v>
      </c>
      <c r="D23" s="30">
        <v>79.92</v>
      </c>
      <c r="Y23" t="e">
        <f>VLOOKUP('X5 order form'!E21,GREPEN!G25:AD31,23,FALSE)</f>
        <v>#N/A</v>
      </c>
    </row>
    <row r="24" spans="1:30" ht="21.75" thickBot="1" x14ac:dyDescent="0.3">
      <c r="A24">
        <v>40</v>
      </c>
      <c r="B24" s="6" t="s">
        <v>482</v>
      </c>
      <c r="C24" s="6" t="s">
        <v>559</v>
      </c>
      <c r="D24" s="30">
        <v>79.92</v>
      </c>
    </row>
    <row r="25" spans="1:30" ht="15.75" thickBot="1" x14ac:dyDescent="0.3">
      <c r="A25">
        <v>50</v>
      </c>
      <c r="B25" s="6" t="s">
        <v>483</v>
      </c>
      <c r="C25" s="6" t="s">
        <v>560</v>
      </c>
      <c r="D25" s="30">
        <v>113.34</v>
      </c>
      <c r="G25">
        <v>10</v>
      </c>
      <c r="H25" s="6" t="s">
        <v>462</v>
      </c>
      <c r="I25" s="6" t="s">
        <v>485</v>
      </c>
      <c r="J25" s="6" t="s">
        <v>498</v>
      </c>
      <c r="K25" s="51" t="s">
        <v>499</v>
      </c>
      <c r="L25" s="3"/>
    </row>
    <row r="26" spans="1:30" ht="21.75" thickBot="1" x14ac:dyDescent="0.3">
      <c r="A26">
        <v>50</v>
      </c>
      <c r="B26" s="6" t="s">
        <v>484</v>
      </c>
      <c r="C26" s="6" t="s">
        <v>561</v>
      </c>
      <c r="D26" s="30">
        <v>113.34</v>
      </c>
      <c r="G26">
        <v>12</v>
      </c>
      <c r="H26" s="6" t="s">
        <v>463</v>
      </c>
    </row>
    <row r="27" spans="1:30" ht="15.75" thickBot="1" x14ac:dyDescent="0.3">
      <c r="A27">
        <v>10</v>
      </c>
      <c r="B27" s="6" t="s">
        <v>485</v>
      </c>
      <c r="C27" s="6" t="s">
        <v>562</v>
      </c>
      <c r="D27" s="30">
        <v>69.19</v>
      </c>
      <c r="G27">
        <v>35</v>
      </c>
      <c r="H27" s="6" t="s">
        <v>464</v>
      </c>
      <c r="I27" s="6" t="s">
        <v>474</v>
      </c>
      <c r="J27" s="6" t="s">
        <v>486</v>
      </c>
    </row>
    <row r="28" spans="1:30" ht="15.75" thickBot="1" x14ac:dyDescent="0.3">
      <c r="A28">
        <v>35</v>
      </c>
      <c r="B28" s="6" t="s">
        <v>486</v>
      </c>
      <c r="C28" s="6" t="s">
        <v>563</v>
      </c>
      <c r="D28" s="30">
        <v>88.27</v>
      </c>
      <c r="G28">
        <v>40</v>
      </c>
      <c r="H28" s="6" t="s">
        <v>465</v>
      </c>
      <c r="I28" s="6" t="s">
        <v>466</v>
      </c>
      <c r="J28" s="6" t="s">
        <v>467</v>
      </c>
      <c r="K28" s="6" t="s">
        <v>471</v>
      </c>
      <c r="L28" s="6" t="s">
        <v>472</v>
      </c>
      <c r="M28" s="6" t="s">
        <v>473</v>
      </c>
      <c r="N28" s="6" t="s">
        <v>475</v>
      </c>
      <c r="O28" s="6" t="s">
        <v>476</v>
      </c>
      <c r="P28" s="6" t="s">
        <v>477</v>
      </c>
      <c r="Q28" s="6" t="s">
        <v>480</v>
      </c>
      <c r="R28" s="6" t="s">
        <v>481</v>
      </c>
      <c r="S28" s="6" t="s">
        <v>482</v>
      </c>
      <c r="T28" s="6" t="s">
        <v>487</v>
      </c>
      <c r="U28" s="7" t="s">
        <v>489</v>
      </c>
      <c r="V28" s="7" t="s">
        <v>490</v>
      </c>
      <c r="W28" s="6" t="s">
        <v>495</v>
      </c>
      <c r="X28" s="6" t="s">
        <v>500</v>
      </c>
      <c r="Y28" s="28" t="s">
        <v>692</v>
      </c>
      <c r="Z28" s="28" t="s">
        <v>693</v>
      </c>
      <c r="AA28" s="6" t="s">
        <v>501</v>
      </c>
      <c r="AB28" s="6" t="s">
        <v>502</v>
      </c>
      <c r="AC28" s="6" t="s">
        <v>503</v>
      </c>
      <c r="AD28" s="6" t="s">
        <v>504</v>
      </c>
    </row>
    <row r="29" spans="1:30" ht="15.75" thickBot="1" x14ac:dyDescent="0.3">
      <c r="A29">
        <v>40</v>
      </c>
      <c r="B29" s="6" t="s">
        <v>487</v>
      </c>
      <c r="C29" s="6" t="s">
        <v>564</v>
      </c>
      <c r="D29" s="30">
        <v>93.06</v>
      </c>
      <c r="G29">
        <v>45</v>
      </c>
      <c r="H29" s="6" t="s">
        <v>468</v>
      </c>
      <c r="I29" s="6" t="s">
        <v>478</v>
      </c>
      <c r="J29" s="6" t="s">
        <v>488</v>
      </c>
      <c r="K29" s="7" t="s">
        <v>491</v>
      </c>
      <c r="L29" s="6" t="s">
        <v>496</v>
      </c>
      <c r="M29" s="6" t="s">
        <v>471</v>
      </c>
      <c r="N29" s="6" t="s">
        <v>473</v>
      </c>
    </row>
    <row r="30" spans="1:30" ht="15.75" thickBot="1" x14ac:dyDescent="0.3">
      <c r="A30">
        <v>45</v>
      </c>
      <c r="B30" s="6" t="s">
        <v>488</v>
      </c>
      <c r="C30" s="6" t="s">
        <v>565</v>
      </c>
      <c r="D30" s="30">
        <v>99.61</v>
      </c>
      <c r="G30">
        <v>50</v>
      </c>
      <c r="H30" s="6" t="s">
        <v>469</v>
      </c>
      <c r="I30" s="6" t="s">
        <v>607</v>
      </c>
      <c r="J30" s="6" t="s">
        <v>606</v>
      </c>
      <c r="K30" s="6" t="s">
        <v>479</v>
      </c>
      <c r="L30" s="6" t="s">
        <v>483</v>
      </c>
      <c r="M30" s="6" t="s">
        <v>484</v>
      </c>
      <c r="N30" s="7" t="s">
        <v>492</v>
      </c>
      <c r="O30" s="7" t="s">
        <v>493</v>
      </c>
      <c r="P30" s="7" t="s">
        <v>494</v>
      </c>
      <c r="Q30" s="6" t="s">
        <v>497</v>
      </c>
      <c r="R30" s="6" t="s">
        <v>501</v>
      </c>
      <c r="S30" s="6" t="s">
        <v>502</v>
      </c>
      <c r="T30" s="6" t="s">
        <v>503</v>
      </c>
      <c r="U30" s="6" t="s">
        <v>504</v>
      </c>
      <c r="V30" s="6" t="s">
        <v>471</v>
      </c>
      <c r="W30" s="6" t="s">
        <v>473</v>
      </c>
    </row>
    <row r="31" spans="1:30" ht="15.75" thickBot="1" x14ac:dyDescent="0.3">
      <c r="A31">
        <v>40</v>
      </c>
      <c r="B31" s="7" t="s">
        <v>489</v>
      </c>
      <c r="C31" s="6" t="s">
        <v>566</v>
      </c>
      <c r="D31" s="30">
        <v>110.94</v>
      </c>
      <c r="G31">
        <v>60</v>
      </c>
      <c r="H31" s="6" t="s">
        <v>470</v>
      </c>
      <c r="I31" s="6" t="s">
        <v>471</v>
      </c>
      <c r="J31" s="6" t="s">
        <v>473</v>
      </c>
    </row>
    <row r="32" spans="1:30" ht="15.75" thickBot="1" x14ac:dyDescent="0.3">
      <c r="A32">
        <v>40</v>
      </c>
      <c r="B32" s="7" t="s">
        <v>490</v>
      </c>
      <c r="C32" s="6" t="s">
        <v>567</v>
      </c>
      <c r="D32" s="30">
        <v>110.94</v>
      </c>
    </row>
    <row r="33" spans="1:4" ht="15.75" thickBot="1" x14ac:dyDescent="0.3">
      <c r="A33">
        <v>45</v>
      </c>
      <c r="B33" s="7" t="s">
        <v>491</v>
      </c>
      <c r="C33" s="6" t="s">
        <v>568</v>
      </c>
      <c r="D33" s="30">
        <v>110.94</v>
      </c>
    </row>
    <row r="34" spans="1:4" ht="15.75" thickBot="1" x14ac:dyDescent="0.3">
      <c r="A34">
        <v>50</v>
      </c>
      <c r="B34" s="7" t="s">
        <v>492</v>
      </c>
      <c r="C34" s="6" t="s">
        <v>569</v>
      </c>
      <c r="D34" s="30">
        <v>110.94</v>
      </c>
    </row>
    <row r="35" spans="1:4" ht="15.75" thickBot="1" x14ac:dyDescent="0.3">
      <c r="A35">
        <v>50</v>
      </c>
      <c r="B35" s="7" t="s">
        <v>493</v>
      </c>
      <c r="C35" s="6" t="s">
        <v>566</v>
      </c>
      <c r="D35" s="30">
        <v>110.94</v>
      </c>
    </row>
    <row r="36" spans="1:4" ht="15.75" thickBot="1" x14ac:dyDescent="0.3">
      <c r="A36">
        <v>50</v>
      </c>
      <c r="B36" s="7" t="s">
        <v>494</v>
      </c>
      <c r="C36" s="6" t="s">
        <v>567</v>
      </c>
      <c r="D36" s="30">
        <v>110.94</v>
      </c>
    </row>
    <row r="37" spans="1:4" ht="15.75" thickBot="1" x14ac:dyDescent="0.3">
      <c r="A37">
        <v>40</v>
      </c>
      <c r="B37" s="6" t="s">
        <v>495</v>
      </c>
      <c r="C37" s="6" t="s">
        <v>570</v>
      </c>
      <c r="D37" s="30">
        <v>113.34</v>
      </c>
    </row>
    <row r="38" spans="1:4" ht="15.75" thickBot="1" x14ac:dyDescent="0.3">
      <c r="A38">
        <v>43</v>
      </c>
      <c r="B38" s="6" t="s">
        <v>496</v>
      </c>
      <c r="C38" s="6" t="s">
        <v>571</v>
      </c>
      <c r="D38" s="30">
        <v>126.46</v>
      </c>
    </row>
    <row r="39" spans="1:4" ht="15.75" thickBot="1" x14ac:dyDescent="0.3">
      <c r="A39">
        <v>50</v>
      </c>
      <c r="B39" s="6" t="s">
        <v>497</v>
      </c>
      <c r="C39" s="6" t="s">
        <v>572</v>
      </c>
      <c r="D39" s="30">
        <v>132.25</v>
      </c>
    </row>
    <row r="40" spans="1:4" ht="15.75" thickBot="1" x14ac:dyDescent="0.3">
      <c r="A40">
        <v>10</v>
      </c>
      <c r="B40" s="6" t="s">
        <v>498</v>
      </c>
      <c r="C40" s="6" t="s">
        <v>573</v>
      </c>
      <c r="D40" s="30">
        <v>132.41999999999999</v>
      </c>
    </row>
    <row r="41" spans="1:4" ht="15.75" thickBot="1" x14ac:dyDescent="0.3">
      <c r="A41">
        <v>10</v>
      </c>
      <c r="B41" s="6" t="s">
        <v>499</v>
      </c>
      <c r="C41" s="6" t="s">
        <v>574</v>
      </c>
      <c r="D41" s="30">
        <v>132.41999999999999</v>
      </c>
    </row>
    <row r="42" spans="1:4" ht="15.75" thickBot="1" x14ac:dyDescent="0.3">
      <c r="A42">
        <v>40</v>
      </c>
      <c r="B42" s="6" t="s">
        <v>500</v>
      </c>
      <c r="C42" s="6" t="s">
        <v>575</v>
      </c>
      <c r="D42" s="30">
        <v>405.6</v>
      </c>
    </row>
    <row r="43" spans="1:4" ht="15.75" thickBot="1" x14ac:dyDescent="0.3">
      <c r="A43">
        <v>50</v>
      </c>
      <c r="B43" s="6" t="s">
        <v>501</v>
      </c>
      <c r="C43" s="6" t="s">
        <v>576</v>
      </c>
      <c r="D43" s="30">
        <v>119.3</v>
      </c>
    </row>
    <row r="44" spans="1:4" ht="15.75" thickBot="1" x14ac:dyDescent="0.3">
      <c r="A44">
        <v>50</v>
      </c>
      <c r="B44" s="6" t="s">
        <v>502</v>
      </c>
      <c r="C44" s="6" t="s">
        <v>548</v>
      </c>
      <c r="D44" s="30">
        <v>119.3</v>
      </c>
    </row>
    <row r="45" spans="1:4" ht="15.75" thickBot="1" x14ac:dyDescent="0.3">
      <c r="A45">
        <v>50</v>
      </c>
      <c r="B45" s="6" t="s">
        <v>503</v>
      </c>
      <c r="C45" s="6" t="s">
        <v>576</v>
      </c>
      <c r="D45" s="30">
        <v>132.41999999999999</v>
      </c>
    </row>
    <row r="46" spans="1:4" ht="15.75" thickBot="1" x14ac:dyDescent="0.3">
      <c r="A46">
        <v>50</v>
      </c>
      <c r="B46" s="6" t="s">
        <v>504</v>
      </c>
      <c r="C46" s="6" t="s">
        <v>548</v>
      </c>
      <c r="D46" s="30">
        <v>132.41999999999999</v>
      </c>
    </row>
    <row r="47" spans="1:4" ht="15.75" thickBot="1" x14ac:dyDescent="0.3">
      <c r="B47" s="28" t="s">
        <v>692</v>
      </c>
      <c r="C47" s="6" t="s">
        <v>576</v>
      </c>
      <c r="D47" s="30">
        <v>119.3</v>
      </c>
    </row>
    <row r="48" spans="1:4" ht="15.75" thickBot="1" x14ac:dyDescent="0.3">
      <c r="B48" s="28" t="s">
        <v>693</v>
      </c>
      <c r="C48" s="6" t="s">
        <v>694</v>
      </c>
      <c r="D48" s="30">
        <v>119.3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B27A-461A-40C5-AC84-7C722EA985C3}">
  <sheetPr codeName="Blad9"/>
  <dimension ref="A2:E55"/>
  <sheetViews>
    <sheetView topLeftCell="A28" workbookViewId="0">
      <selection activeCell="A61" sqref="A61"/>
    </sheetView>
  </sheetViews>
  <sheetFormatPr defaultRowHeight="15" x14ac:dyDescent="0.25"/>
  <cols>
    <col min="1" max="1" width="34.140625" customWidth="1"/>
    <col min="2" max="2" width="22.7109375" bestFit="1" customWidth="1"/>
  </cols>
  <sheetData>
    <row r="2" spans="1:4" x14ac:dyDescent="0.25">
      <c r="A2" t="s">
        <v>520</v>
      </c>
    </row>
    <row r="3" spans="1:4" x14ac:dyDescent="0.25">
      <c r="A3" t="s">
        <v>597</v>
      </c>
    </row>
    <row r="4" spans="1:4" x14ac:dyDescent="0.25">
      <c r="A4" t="s">
        <v>598</v>
      </c>
    </row>
    <row r="5" spans="1:4" x14ac:dyDescent="0.25">
      <c r="A5" t="s">
        <v>578</v>
      </c>
    </row>
    <row r="6" spans="1:4" x14ac:dyDescent="0.25">
      <c r="A6" t="s">
        <v>674</v>
      </c>
    </row>
    <row r="7" spans="1:4" x14ac:dyDescent="0.25">
      <c r="A7" t="s">
        <v>520</v>
      </c>
    </row>
    <row r="8" spans="1:4" x14ac:dyDescent="0.25">
      <c r="A8" t="e">
        <f>VLOOKUP('X5 order form'!E5,B8:D9,2,FALSE)</f>
        <v>#N/A</v>
      </c>
      <c r="B8" s="53" t="s">
        <v>1041</v>
      </c>
      <c r="C8" s="21" t="s">
        <v>579</v>
      </c>
      <c r="D8" s="21" t="s">
        <v>580</v>
      </c>
    </row>
    <row r="9" spans="1:4" x14ac:dyDescent="0.25">
      <c r="A9" t="e">
        <f>VLOOKUP('X5 order form'!E5,B8:D9,3,FALSE)</f>
        <v>#N/A</v>
      </c>
      <c r="B9" s="53" t="s">
        <v>1042</v>
      </c>
      <c r="C9" s="21" t="s">
        <v>579</v>
      </c>
      <c r="D9" s="21" t="s">
        <v>580</v>
      </c>
    </row>
    <row r="11" spans="1:4" x14ac:dyDescent="0.25">
      <c r="A11" t="s">
        <v>520</v>
      </c>
    </row>
    <row r="12" spans="1:4" x14ac:dyDescent="0.25">
      <c r="A12" t="s">
        <v>581</v>
      </c>
    </row>
    <row r="13" spans="1:4" x14ac:dyDescent="0.25">
      <c r="A13" t="s">
        <v>577</v>
      </c>
    </row>
    <row r="15" spans="1:4" x14ac:dyDescent="0.25">
      <c r="A15" t="s">
        <v>520</v>
      </c>
    </row>
    <row r="16" spans="1:4" x14ac:dyDescent="0.25">
      <c r="A16" t="s">
        <v>663</v>
      </c>
    </row>
    <row r="17" spans="1:4" x14ac:dyDescent="0.25">
      <c r="A17" t="s">
        <v>1</v>
      </c>
    </row>
    <row r="19" spans="1:4" x14ac:dyDescent="0.25">
      <c r="A19" t="s">
        <v>520</v>
      </c>
    </row>
    <row r="20" spans="1:4" x14ac:dyDescent="0.25">
      <c r="A20" t="e">
        <f>VLOOKUP('X5 order form'!E5,B20:D21,2,FALSE)</f>
        <v>#N/A</v>
      </c>
      <c r="B20" s="53" t="s">
        <v>1041</v>
      </c>
      <c r="C20" s="21" t="s">
        <v>2</v>
      </c>
      <c r="D20" s="21" t="s">
        <v>3</v>
      </c>
    </row>
    <row r="21" spans="1:4" x14ac:dyDescent="0.25">
      <c r="A21" t="e">
        <f>VLOOKUP('X5 order form'!E5,B20:D21,3,FALSE)</f>
        <v>#N/A</v>
      </c>
      <c r="B21" s="53" t="s">
        <v>1042</v>
      </c>
      <c r="C21" s="21" t="s">
        <v>2</v>
      </c>
      <c r="D21" s="21" t="s">
        <v>3</v>
      </c>
    </row>
    <row r="23" spans="1:4" x14ac:dyDescent="0.25">
      <c r="A23" t="s">
        <v>520</v>
      </c>
    </row>
    <row r="24" spans="1:4" x14ac:dyDescent="0.25">
      <c r="A24" t="e">
        <f>VLOOKUP('X5 order form'!E9,A37:G38,2,FALSE)</f>
        <v>#N/A</v>
      </c>
    </row>
    <row r="25" spans="1:4" x14ac:dyDescent="0.25">
      <c r="A25" t="e">
        <f>VLOOKUP('X5 order form'!E9,A37:G38,3,FALSE)</f>
        <v>#N/A</v>
      </c>
    </row>
    <row r="26" spans="1:4" x14ac:dyDescent="0.25">
      <c r="A26" t="e">
        <f>VLOOKUP('X5 order form'!E9,A37:G38,4,FALSE)</f>
        <v>#N/A</v>
      </c>
    </row>
    <row r="27" spans="1:4" x14ac:dyDescent="0.25">
      <c r="A27" t="e">
        <f>VLOOKUP('X5 order form'!E9,A37:G38,5,FALSE)</f>
        <v>#N/A</v>
      </c>
    </row>
    <row r="28" spans="1:4" x14ac:dyDescent="0.25">
      <c r="A28" t="e">
        <f>VLOOKUP('X5 order form'!E9,A37:G38,6,FALSE)</f>
        <v>#N/A</v>
      </c>
    </row>
    <row r="29" spans="1:4" x14ac:dyDescent="0.25">
      <c r="A29" t="e">
        <f>VLOOKUP('X5 order form'!E9,A37:G38,7,FALSE)</f>
        <v>#N/A</v>
      </c>
    </row>
    <row r="32" spans="1:4" x14ac:dyDescent="0.25">
      <c r="A32" t="s">
        <v>520</v>
      </c>
    </row>
    <row r="33" spans="1:5" x14ac:dyDescent="0.25">
      <c r="A33">
        <v>50</v>
      </c>
    </row>
    <row r="34" spans="1:5" x14ac:dyDescent="0.25">
      <c r="A34">
        <v>75</v>
      </c>
    </row>
    <row r="35" spans="1:5" x14ac:dyDescent="0.25">
      <c r="A35">
        <v>100</v>
      </c>
    </row>
    <row r="37" spans="1:5" x14ac:dyDescent="0.25">
      <c r="A37" t="s">
        <v>580</v>
      </c>
      <c r="B37">
        <v>10</v>
      </c>
      <c r="C37">
        <v>12</v>
      </c>
    </row>
    <row r="38" spans="1:5" x14ac:dyDescent="0.25">
      <c r="A38" t="s">
        <v>579</v>
      </c>
      <c r="B38">
        <v>40</v>
      </c>
      <c r="C38">
        <v>45</v>
      </c>
      <c r="D38">
        <v>50</v>
      </c>
      <c r="E38">
        <v>60</v>
      </c>
    </row>
    <row r="40" spans="1:5" x14ac:dyDescent="0.25">
      <c r="A40" t="s">
        <v>520</v>
      </c>
    </row>
    <row r="41" spans="1:5" x14ac:dyDescent="0.25">
      <c r="A41" t="e">
        <f>VLOOKUP('X5 order form'!E9,B41:D42,2,FALSE)</f>
        <v>#N/A</v>
      </c>
      <c r="B41" s="21" t="s">
        <v>579</v>
      </c>
      <c r="C41" s="22">
        <v>75</v>
      </c>
      <c r="D41" s="22">
        <v>100</v>
      </c>
    </row>
    <row r="42" spans="1:5" x14ac:dyDescent="0.25">
      <c r="A42" t="e">
        <f>VLOOKUP('X5 order form'!E9,B41:D42,3,FALSE)</f>
        <v>#N/A</v>
      </c>
      <c r="B42" s="21" t="s">
        <v>580</v>
      </c>
      <c r="C42" s="22">
        <v>50</v>
      </c>
      <c r="D42" s="22">
        <v>75</v>
      </c>
    </row>
    <row r="45" spans="1:5" x14ac:dyDescent="0.25">
      <c r="A45" t="s">
        <v>582</v>
      </c>
    </row>
    <row r="46" spans="1:5" x14ac:dyDescent="0.25">
      <c r="A46" t="s">
        <v>599</v>
      </c>
    </row>
    <row r="47" spans="1:5" x14ac:dyDescent="0.25">
      <c r="A47" t="s">
        <v>583</v>
      </c>
    </row>
    <row r="50" spans="1:1" x14ac:dyDescent="0.25">
      <c r="A50" s="20" t="s">
        <v>520</v>
      </c>
    </row>
    <row r="51" spans="1:1" x14ac:dyDescent="0.25">
      <c r="A51" s="53" t="s">
        <v>1041</v>
      </c>
    </row>
    <row r="52" spans="1:1" x14ac:dyDescent="0.25">
      <c r="A52" s="53" t="s">
        <v>1042</v>
      </c>
    </row>
    <row r="53" spans="1:1" x14ac:dyDescent="0.25">
      <c r="A53" s="20"/>
    </row>
    <row r="54" spans="1:1" x14ac:dyDescent="0.25">
      <c r="A54" t="s">
        <v>1045</v>
      </c>
    </row>
    <row r="55" spans="1:1" x14ac:dyDescent="0.25">
      <c r="A55" t="s">
        <v>582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AC0-FABB-48FC-B23E-6587992194E5}">
  <sheetPr codeName="Blad3"/>
  <dimension ref="B2:H47"/>
  <sheetViews>
    <sheetView zoomScaleNormal="100" workbookViewId="0">
      <selection activeCell="J39" sqref="J39"/>
    </sheetView>
  </sheetViews>
  <sheetFormatPr defaultRowHeight="15" x14ac:dyDescent="0.25"/>
  <cols>
    <col min="1" max="2" width="14.85546875" customWidth="1"/>
    <col min="3" max="3" width="20.85546875" customWidth="1"/>
    <col min="6" max="6" width="65" customWidth="1"/>
    <col min="7" max="7" width="9.5703125" style="26" bestFit="1" customWidth="1"/>
  </cols>
  <sheetData>
    <row r="2" spans="2:8" x14ac:dyDescent="0.25">
      <c r="B2" s="2"/>
      <c r="C2" s="1" t="s">
        <v>4</v>
      </c>
      <c r="F2" s="1" t="s">
        <v>628</v>
      </c>
      <c r="H2" s="2"/>
    </row>
    <row r="3" spans="2:8" x14ac:dyDescent="0.25">
      <c r="B3" s="2"/>
      <c r="C3" s="1" t="s">
        <v>5</v>
      </c>
      <c r="F3" s="1" t="s">
        <v>628</v>
      </c>
      <c r="H3" s="2"/>
    </row>
    <row r="4" spans="2:8" x14ac:dyDescent="0.25">
      <c r="B4" s="2"/>
      <c r="C4" s="1" t="s">
        <v>6</v>
      </c>
      <c r="F4" s="1" t="s">
        <v>628</v>
      </c>
      <c r="H4" s="2"/>
    </row>
    <row r="5" spans="2:8" x14ac:dyDescent="0.25">
      <c r="B5" s="2"/>
      <c r="C5" s="1" t="s">
        <v>7</v>
      </c>
      <c r="F5" s="1" t="s">
        <v>628</v>
      </c>
      <c r="H5" s="2"/>
    </row>
    <row r="6" spans="2:8" x14ac:dyDescent="0.25">
      <c r="B6" s="2"/>
      <c r="C6" s="1" t="s">
        <v>8</v>
      </c>
      <c r="F6" s="1" t="s">
        <v>628</v>
      </c>
      <c r="H6" s="2"/>
    </row>
    <row r="7" spans="2:8" x14ac:dyDescent="0.25">
      <c r="B7" s="2"/>
      <c r="C7" s="1" t="s">
        <v>9</v>
      </c>
      <c r="F7" s="1" t="s">
        <v>629</v>
      </c>
      <c r="H7" s="2"/>
    </row>
    <row r="8" spans="2:8" x14ac:dyDescent="0.25">
      <c r="B8" s="2"/>
      <c r="C8" s="1" t="s">
        <v>10</v>
      </c>
      <c r="F8" s="1" t="s">
        <v>629</v>
      </c>
      <c r="H8" s="2"/>
    </row>
    <row r="9" spans="2:8" x14ac:dyDescent="0.25">
      <c r="B9" s="2"/>
      <c r="C9" s="1" t="s">
        <v>11</v>
      </c>
      <c r="F9" s="1" t="s">
        <v>629</v>
      </c>
      <c r="H9" s="2"/>
    </row>
    <row r="10" spans="2:8" x14ac:dyDescent="0.25">
      <c r="B10" s="2"/>
      <c r="C10" s="1" t="s">
        <v>12</v>
      </c>
      <c r="F10" s="1" t="s">
        <v>630</v>
      </c>
      <c r="H10" s="2"/>
    </row>
    <row r="11" spans="2:8" x14ac:dyDescent="0.25">
      <c r="B11" s="2"/>
      <c r="C11" s="1" t="s">
        <v>13</v>
      </c>
      <c r="F11" s="1" t="s">
        <v>631</v>
      </c>
      <c r="H11" s="2"/>
    </row>
    <row r="12" spans="2:8" x14ac:dyDescent="0.25">
      <c r="B12" s="2"/>
      <c r="C12" s="1" t="s">
        <v>592</v>
      </c>
      <c r="F12" s="1" t="s">
        <v>629</v>
      </c>
      <c r="H12" s="2"/>
    </row>
    <row r="13" spans="2:8" x14ac:dyDescent="0.25">
      <c r="B13" s="2"/>
      <c r="C13" s="1" t="s">
        <v>14</v>
      </c>
      <c r="F13" s="1" t="s">
        <v>629</v>
      </c>
      <c r="H13" s="2"/>
    </row>
    <row r="14" spans="2:8" x14ac:dyDescent="0.25">
      <c r="B14" s="2"/>
      <c r="C14" s="1" t="s">
        <v>15</v>
      </c>
      <c r="F14" s="1" t="s">
        <v>629</v>
      </c>
      <c r="H14" s="2"/>
    </row>
    <row r="15" spans="2:8" x14ac:dyDescent="0.25">
      <c r="B15" s="2"/>
      <c r="C15" s="1" t="s">
        <v>16</v>
      </c>
      <c r="F15" s="1" t="s">
        <v>629</v>
      </c>
      <c r="H15" s="2"/>
    </row>
    <row r="16" spans="2:8" x14ac:dyDescent="0.25">
      <c r="B16" s="2"/>
      <c r="C16" s="1" t="s">
        <v>17</v>
      </c>
      <c r="F16" s="1" t="s">
        <v>632</v>
      </c>
      <c r="H16" s="2"/>
    </row>
    <row r="17" spans="2:8" x14ac:dyDescent="0.25">
      <c r="B17" s="2"/>
      <c r="C17" s="1" t="s">
        <v>18</v>
      </c>
      <c r="F17" s="1" t="s">
        <v>632</v>
      </c>
      <c r="H17" s="2"/>
    </row>
    <row r="18" spans="2:8" x14ac:dyDescent="0.25">
      <c r="B18" s="2"/>
      <c r="C18" s="1" t="s">
        <v>19</v>
      </c>
      <c r="F18" s="1" t="s">
        <v>633</v>
      </c>
      <c r="H18" s="2"/>
    </row>
    <row r="19" spans="2:8" x14ac:dyDescent="0.25">
      <c r="B19" s="2"/>
      <c r="C19" s="1" t="s">
        <v>20</v>
      </c>
      <c r="F19" s="1" t="s">
        <v>634</v>
      </c>
      <c r="H19" s="2"/>
    </row>
    <row r="20" spans="2:8" x14ac:dyDescent="0.25">
      <c r="B20" s="2"/>
      <c r="C20" s="1" t="s">
        <v>593</v>
      </c>
      <c r="F20" s="1" t="s">
        <v>632</v>
      </c>
      <c r="H20" s="2"/>
    </row>
    <row r="21" spans="2:8" x14ac:dyDescent="0.25">
      <c r="B21" s="2"/>
      <c r="C21" s="1" t="s">
        <v>21</v>
      </c>
      <c r="F21" s="1" t="s">
        <v>632</v>
      </c>
      <c r="H21" s="2"/>
    </row>
    <row r="22" spans="2:8" x14ac:dyDescent="0.25">
      <c r="B22" s="2"/>
      <c r="C22" s="1" t="s">
        <v>22</v>
      </c>
      <c r="F22" s="1" t="s">
        <v>632</v>
      </c>
      <c r="H22" s="2"/>
    </row>
    <row r="23" spans="2:8" x14ac:dyDescent="0.25">
      <c r="B23" s="2"/>
      <c r="C23" s="1" t="s">
        <v>23</v>
      </c>
      <c r="F23" s="1" t="s">
        <v>632</v>
      </c>
      <c r="H23" s="2"/>
    </row>
    <row r="24" spans="2:8" x14ac:dyDescent="0.25">
      <c r="B24" s="2"/>
      <c r="C24" s="1" t="s">
        <v>24</v>
      </c>
      <c r="F24" s="1" t="s">
        <v>628</v>
      </c>
      <c r="H24" s="2"/>
    </row>
    <row r="25" spans="2:8" x14ac:dyDescent="0.25">
      <c r="B25" s="2"/>
      <c r="C25" s="1" t="s">
        <v>594</v>
      </c>
      <c r="F25" s="1" t="s">
        <v>628</v>
      </c>
      <c r="H25" s="2"/>
    </row>
    <row r="26" spans="2:8" x14ac:dyDescent="0.25">
      <c r="B26" s="2"/>
      <c r="C26" s="1" t="s">
        <v>1046</v>
      </c>
      <c r="F26" s="1" t="s">
        <v>629</v>
      </c>
      <c r="H26" s="2"/>
    </row>
    <row r="27" spans="2:8" x14ac:dyDescent="0.25">
      <c r="B27" s="2"/>
      <c r="C27" s="1" t="s">
        <v>595</v>
      </c>
      <c r="F27" s="1" t="s">
        <v>629</v>
      </c>
      <c r="H27" s="2"/>
    </row>
    <row r="28" spans="2:8" x14ac:dyDescent="0.25">
      <c r="B28" s="2"/>
      <c r="C28" s="1" t="s">
        <v>25</v>
      </c>
      <c r="F28" s="1" t="s">
        <v>629</v>
      </c>
      <c r="H28" s="2"/>
    </row>
    <row r="29" spans="2:8" x14ac:dyDescent="0.25">
      <c r="B29" s="2"/>
      <c r="C29" s="1" t="s">
        <v>26</v>
      </c>
      <c r="F29" s="1" t="s">
        <v>629</v>
      </c>
      <c r="H29" s="2"/>
    </row>
    <row r="30" spans="2:8" x14ac:dyDescent="0.25">
      <c r="B30" s="2"/>
      <c r="C30" s="1" t="s">
        <v>596</v>
      </c>
      <c r="F30" s="1" t="s">
        <v>632</v>
      </c>
      <c r="H30" s="2"/>
    </row>
    <row r="31" spans="2:8" x14ac:dyDescent="0.25">
      <c r="B31" s="2"/>
      <c r="C31" s="1" t="s">
        <v>596</v>
      </c>
      <c r="F31" s="1" t="s">
        <v>632</v>
      </c>
      <c r="H31" s="2"/>
    </row>
    <row r="32" spans="2:8" x14ac:dyDescent="0.25">
      <c r="B32" s="2"/>
      <c r="C32" s="1" t="s">
        <v>518</v>
      </c>
      <c r="F32" s="1" t="s">
        <v>632</v>
      </c>
      <c r="H32" s="2"/>
    </row>
    <row r="33" spans="2:8" x14ac:dyDescent="0.25">
      <c r="B33" s="2"/>
      <c r="C33" s="1" t="s">
        <v>519</v>
      </c>
      <c r="F33" s="1" t="s">
        <v>632</v>
      </c>
      <c r="H33" s="2"/>
    </row>
    <row r="34" spans="2:8" x14ac:dyDescent="0.25">
      <c r="B34" s="2"/>
      <c r="C34" s="25" t="s">
        <v>675</v>
      </c>
      <c r="F34" s="1" t="s">
        <v>688</v>
      </c>
      <c r="G34" s="27"/>
    </row>
    <row r="35" spans="2:8" x14ac:dyDescent="0.25">
      <c r="B35" s="2"/>
      <c r="C35" s="25" t="s">
        <v>676</v>
      </c>
      <c r="F35" s="1" t="s">
        <v>688</v>
      </c>
      <c r="G35" s="27"/>
    </row>
    <row r="36" spans="2:8" x14ac:dyDescent="0.25">
      <c r="B36" s="2"/>
      <c r="C36" s="25" t="s">
        <v>677</v>
      </c>
      <c r="F36" s="1" t="s">
        <v>688</v>
      </c>
      <c r="G36" s="27"/>
    </row>
    <row r="37" spans="2:8" x14ac:dyDescent="0.25">
      <c r="B37" s="2"/>
      <c r="C37" s="25" t="s">
        <v>678</v>
      </c>
      <c r="F37" s="1" t="s">
        <v>689</v>
      </c>
      <c r="G37" s="27"/>
    </row>
    <row r="38" spans="2:8" x14ac:dyDescent="0.25">
      <c r="B38" s="2"/>
      <c r="C38" s="25" t="s">
        <v>679</v>
      </c>
      <c r="F38" s="1" t="s">
        <v>690</v>
      </c>
      <c r="G38" s="27"/>
    </row>
    <row r="39" spans="2:8" x14ac:dyDescent="0.25">
      <c r="B39" s="2"/>
      <c r="C39" s="25" t="s">
        <v>680</v>
      </c>
      <c r="F39" s="1" t="s">
        <v>688</v>
      </c>
      <c r="G39" s="27"/>
    </row>
    <row r="40" spans="2:8" x14ac:dyDescent="0.25">
      <c r="B40" s="2"/>
      <c r="C40" s="25" t="s">
        <v>681</v>
      </c>
      <c r="F40" s="1" t="s">
        <v>688</v>
      </c>
      <c r="G40" s="27"/>
    </row>
    <row r="41" spans="2:8" x14ac:dyDescent="0.25">
      <c r="B41" s="2"/>
      <c r="C41" s="25" t="s">
        <v>682</v>
      </c>
      <c r="F41" s="1" t="s">
        <v>688</v>
      </c>
      <c r="G41" s="27"/>
    </row>
    <row r="42" spans="2:8" x14ac:dyDescent="0.25">
      <c r="B42" s="2"/>
      <c r="C42" s="25" t="s">
        <v>683</v>
      </c>
      <c r="F42" s="1" t="s">
        <v>688</v>
      </c>
      <c r="G42" s="27"/>
    </row>
    <row r="43" spans="2:8" x14ac:dyDescent="0.25">
      <c r="B43" s="2"/>
      <c r="C43" s="25" t="s">
        <v>1047</v>
      </c>
      <c r="F43" s="1" t="s">
        <v>688</v>
      </c>
      <c r="G43" s="27"/>
    </row>
    <row r="44" spans="2:8" x14ac:dyDescent="0.25">
      <c r="C44" s="25" t="s">
        <v>684</v>
      </c>
      <c r="F44" s="1" t="s">
        <v>688</v>
      </c>
      <c r="G44" s="27"/>
    </row>
    <row r="45" spans="2:8" x14ac:dyDescent="0.25">
      <c r="C45" s="25" t="s">
        <v>685</v>
      </c>
      <c r="F45" s="1" t="s">
        <v>688</v>
      </c>
      <c r="G45" s="27"/>
    </row>
    <row r="46" spans="2:8" x14ac:dyDescent="0.25">
      <c r="C46" s="25" t="s">
        <v>686</v>
      </c>
      <c r="F46" s="1" t="s">
        <v>688</v>
      </c>
      <c r="G46" s="27"/>
    </row>
    <row r="47" spans="2:8" x14ac:dyDescent="0.25">
      <c r="C47" s="25" t="s">
        <v>687</v>
      </c>
      <c r="F47" s="1" t="s">
        <v>688</v>
      </c>
      <c r="G47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988-2C1F-4066-9328-B077B4E2390A}">
  <sheetPr codeName="Blad4"/>
  <dimension ref="B2:F6"/>
  <sheetViews>
    <sheetView workbookViewId="0">
      <selection activeCell="H29" sqref="H29"/>
    </sheetView>
  </sheetViews>
  <sheetFormatPr defaultRowHeight="15" x14ac:dyDescent="0.25"/>
  <cols>
    <col min="2" max="2" width="12.140625" bestFit="1" customWidth="1"/>
    <col min="4" max="4" width="58.28515625" customWidth="1"/>
    <col min="5" max="5" width="9.42578125" style="26" bestFit="1" customWidth="1"/>
  </cols>
  <sheetData>
    <row r="2" spans="2:6" x14ac:dyDescent="0.25">
      <c r="B2" t="s">
        <v>121</v>
      </c>
      <c r="D2" t="s">
        <v>635</v>
      </c>
      <c r="E2" s="26">
        <f>F2*1.06</f>
        <v>151.39980000000003</v>
      </c>
      <c r="F2" s="16">
        <v>142.83000000000001</v>
      </c>
    </row>
    <row r="3" spans="2:6" x14ac:dyDescent="0.25">
      <c r="B3" t="s">
        <v>122</v>
      </c>
      <c r="D3" t="s">
        <v>636</v>
      </c>
      <c r="E3" s="26">
        <f t="shared" ref="E3:E6" si="0">F3*1.06</f>
        <v>165.17980000000003</v>
      </c>
      <c r="F3" s="16">
        <v>155.83000000000001</v>
      </c>
    </row>
    <row r="4" spans="2:6" x14ac:dyDescent="0.25">
      <c r="B4" t="s">
        <v>123</v>
      </c>
      <c r="D4" t="s">
        <v>637</v>
      </c>
      <c r="E4" s="26">
        <f t="shared" si="0"/>
        <v>247.75380000000001</v>
      </c>
      <c r="F4" s="16">
        <v>233.73</v>
      </c>
    </row>
    <row r="5" spans="2:6" x14ac:dyDescent="0.25">
      <c r="B5" t="s">
        <v>124</v>
      </c>
      <c r="D5" t="s">
        <v>638</v>
      </c>
      <c r="E5" s="26">
        <f t="shared" si="0"/>
        <v>268.41320000000002</v>
      </c>
      <c r="F5" s="16">
        <v>253.22</v>
      </c>
    </row>
    <row r="6" spans="2:6" x14ac:dyDescent="0.25">
      <c r="B6" t="s">
        <v>125</v>
      </c>
      <c r="D6" t="s">
        <v>639</v>
      </c>
      <c r="E6" s="26">
        <f t="shared" si="0"/>
        <v>316.57960000000003</v>
      </c>
      <c r="F6" s="16">
        <v>298.66000000000003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X5 order form</vt:lpstr>
      <vt:lpstr>Door leaf</vt:lpstr>
      <vt:lpstr>Technical details</vt:lpstr>
      <vt:lpstr>MAATWERK</vt:lpstr>
      <vt:lpstr>RAIL</vt:lpstr>
      <vt:lpstr>GREPEN</vt:lpstr>
      <vt:lpstr>INVULVELDEN</vt:lpstr>
      <vt:lpstr>STAANDERS</vt:lpstr>
      <vt:lpstr>MIDDENSTAANDERS</vt:lpstr>
      <vt:lpstr>AFWERKING</vt:lpstr>
      <vt:lpstr>OPMERKINGEN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[Xinnix]</dc:creator>
  <cp:lastModifiedBy>Justine Godar</cp:lastModifiedBy>
  <dcterms:created xsi:type="dcterms:W3CDTF">2020-02-03T14:48:55Z</dcterms:created>
  <dcterms:modified xsi:type="dcterms:W3CDTF">2026-01-22T08:24:42Z</dcterms:modified>
</cp:coreProperties>
</file>